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30"/>
  <workbookPr defaultThemeVersion="166925"/>
  <mc:AlternateContent xmlns:mc="http://schemas.openxmlformats.org/markup-compatibility/2006">
    <mc:Choice Requires="x15">
      <x15ac:absPath xmlns:x15ac="http://schemas.microsoft.com/office/spreadsheetml/2010/11/ac" url="https://unioxfordnexus-my.sharepoint.com/personal/kell6826_ox_ac_uk/Documents/DPhil/Chapters/CH2 Methodological Review of Shrimp LCAs/_For submission/Reviews in Aquaculture/Revisions/"/>
    </mc:Choice>
  </mc:AlternateContent>
  <xr:revisionPtr revIDLastSave="1" documentId="8_{C5AEC42F-E7FC-E74D-9E88-CC3893A93A1B}" xr6:coauthVersionLast="47" xr6:coauthVersionMax="47" xr10:uidLastSave="{E55C9B54-D04D-804E-B31F-CFC9626238FA}"/>
  <bookViews>
    <workbookView xWindow="-3680" yWindow="-28800" windowWidth="51200" windowHeight="28800" firstSheet="5" activeTab="5" xr2:uid="{00000000-000D-0000-FFFF-FFFF00000000}"/>
  </bookViews>
  <sheets>
    <sheet name="Web of Science Search Results" sheetId="2" r:id="rId1"/>
    <sheet name="WoS post title &amp; abstract scan" sheetId="1" r:id="rId2"/>
    <sheet name="Scopus Search Results" sheetId="3" r:id="rId3"/>
    <sheet name="Scopus post title&amp;abstract scan" sheetId="4" r:id="rId4"/>
    <sheet name="Combination WoS &amp; Scopus" sheetId="5" r:id="rId5"/>
    <sheet name="SM of shrimp LCA review" sheetId="17"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S26" i="17" l="1"/>
  <c r="AS27" i="17"/>
  <c r="BN35" i="17"/>
  <c r="AS3" i="17" l="1"/>
  <c r="AS4" i="17"/>
  <c r="AS7" i="17"/>
  <c r="AS8" i="17"/>
  <c r="AS10" i="17"/>
  <c r="AS11" i="17"/>
  <c r="AS12" i="17"/>
  <c r="AS13" i="17"/>
  <c r="AS14" i="17"/>
  <c r="AS15" i="17"/>
  <c r="AS16" i="17"/>
  <c r="AS17" i="17"/>
  <c r="BB17" i="17"/>
  <c r="BE17" i="17"/>
  <c r="AS18" i="17"/>
  <c r="AS19" i="17"/>
  <c r="BB19" i="17"/>
  <c r="AS20" i="17"/>
  <c r="AS21" i="17"/>
  <c r="AS22" i="17"/>
  <c r="AS23" i="17"/>
  <c r="AS24" i="17"/>
  <c r="AS25" i="17"/>
  <c r="AS28" i="17"/>
  <c r="AS29" i="17"/>
  <c r="AS30" i="17"/>
  <c r="AS31" i="17"/>
  <c r="AS32" i="17"/>
  <c r="AS33" i="17"/>
  <c r="AS34" i="17"/>
  <c r="AN35" i="17"/>
  <c r="AO35" i="17"/>
  <c r="AU35" i="17"/>
  <c r="AZ35" i="17"/>
  <c r="BK35" i="17"/>
  <c r="BM35" i="17"/>
  <c r="AS36" i="17"/>
  <c r="AS37" i="17"/>
  <c r="AS38" i="17"/>
  <c r="AS39" i="17"/>
  <c r="AS35" i="17" l="1"/>
  <c r="BT6" i="17" l="1"/>
  <c r="BT5" i="17"/>
  <c r="CD38" i="17"/>
  <c r="CD37" i="17"/>
  <c r="CD36" i="17"/>
  <c r="CV34" i="17"/>
  <c r="CK34" i="17"/>
  <c r="CH34" i="17"/>
  <c r="CF34" i="17"/>
  <c r="CE34" i="17"/>
  <c r="CD34" i="17"/>
  <c r="CC34" i="17"/>
  <c r="BW34" i="17"/>
  <c r="BU34" i="17"/>
  <c r="BR34" i="17"/>
  <c r="CV33" i="17"/>
  <c r="CK33" i="17"/>
  <c r="CH33" i="17"/>
  <c r="CF33" i="17"/>
  <c r="CE33" i="17"/>
  <c r="CD33" i="17"/>
  <c r="CC33" i="17"/>
  <c r="BW33" i="17"/>
  <c r="BU33" i="17"/>
  <c r="BR33" i="17"/>
  <c r="CV32" i="17"/>
  <c r="CK32" i="17"/>
  <c r="CH32" i="17"/>
  <c r="CF32" i="17"/>
  <c r="CE32" i="17"/>
  <c r="CD32" i="17"/>
  <c r="CC32" i="17"/>
  <c r="BW32" i="17"/>
  <c r="BU32" i="17"/>
  <c r="BR32" i="17"/>
  <c r="CV31" i="17"/>
  <c r="CK31" i="17"/>
  <c r="CH31" i="17"/>
  <c r="CF31" i="17"/>
  <c r="CE31" i="17"/>
  <c r="CD31" i="17"/>
  <c r="CC31" i="17"/>
  <c r="BW31" i="17"/>
  <c r="BU31" i="17"/>
  <c r="BR31" i="17"/>
  <c r="CV30" i="17"/>
  <c r="CK30" i="17"/>
  <c r="CH30" i="17"/>
  <c r="CF30" i="17"/>
  <c r="CE30" i="17"/>
  <c r="CD30" i="17"/>
  <c r="CC30" i="17"/>
  <c r="BW30" i="17"/>
  <c r="BU30" i="17"/>
  <c r="BR30" i="17"/>
  <c r="CT11" i="17"/>
  <c r="BT9" i="17"/>
  <c r="D30" i="2" l="1"/>
  <c r="D77" i="2"/>
  <c r="D14" i="2"/>
  <c r="D25" i="2"/>
  <c r="D72" i="2"/>
  <c r="D19" i="2"/>
  <c r="D70" i="2"/>
  <c r="D4" i="2"/>
  <c r="D47" i="2"/>
  <c r="D11" i="2"/>
  <c r="D29" i="2"/>
  <c r="D35" i="2"/>
  <c r="D48" i="2"/>
  <c r="D44" i="2"/>
  <c r="D67" i="2"/>
  <c r="D62" i="2"/>
  <c r="D15" i="2"/>
  <c r="D78" i="2"/>
  <c r="D16" i="2"/>
  <c r="D28" i="2"/>
  <c r="D12" i="2"/>
  <c r="D18" i="2"/>
  <c r="D6" i="2"/>
  <c r="D71" i="2"/>
  <c r="D63" i="2"/>
  <c r="D80" i="2"/>
  <c r="D2" i="2"/>
  <c r="D22" i="2"/>
  <c r="D83" i="2"/>
  <c r="D55" i="2"/>
  <c r="D21" i="2"/>
  <c r="D75" i="2"/>
  <c r="D27" i="2"/>
  <c r="D79" i="2"/>
  <c r="D41" i="2"/>
  <c r="D8" i="2"/>
  <c r="D17" i="2"/>
  <c r="D10" i="2"/>
  <c r="D65" i="2"/>
  <c r="D56" i="2"/>
  <c r="D3" i="2"/>
  <c r="D13" i="2"/>
  <c r="D61" i="2"/>
  <c r="D68" i="2"/>
  <c r="D7" i="2"/>
  <c r="D58" i="2"/>
  <c r="D26" i="2"/>
  <c r="D69" i="2"/>
  <c r="D31" i="2"/>
  <c r="D37" i="2"/>
  <c r="D85" i="2"/>
  <c r="D42" i="2"/>
  <c r="D33" i="2"/>
  <c r="D40" i="2"/>
  <c r="D20" i="2"/>
  <c r="D43" i="2"/>
  <c r="D5" i="2"/>
  <c r="D59" i="2"/>
  <c r="D38" i="2"/>
  <c r="D73" i="2"/>
  <c r="D46" i="2"/>
  <c r="D53" i="2"/>
  <c r="D64" i="2"/>
  <c r="D57" i="2"/>
  <c r="D84" i="2"/>
  <c r="D86" i="2"/>
  <c r="D52" i="2"/>
  <c r="D49" i="2"/>
  <c r="D60" i="2"/>
  <c r="D54" i="2"/>
  <c r="D36" i="2"/>
  <c r="D66" i="2"/>
  <c r="D24" i="2"/>
  <c r="D45" i="2"/>
  <c r="D74" i="2"/>
  <c r="D50" i="2"/>
  <c r="D82" i="2"/>
  <c r="D81" i="2"/>
  <c r="D39" i="2"/>
  <c r="D51" i="2"/>
  <c r="D34" i="2"/>
  <c r="D76" i="2"/>
  <c r="D32" i="2"/>
  <c r="D23"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tc={9132E5E4-A4F1-9847-83AB-1E17BABFE5EC}</author>
    <author>Microsoft Office User</author>
  </authors>
  <commentList>
    <comment ref="BL13" authorId="0" shapeId="0" xr:uid="{9132E5E4-A4F1-9847-83AB-1E17BABFE5EC}">
      <text>
        <t xml:space="preserve">[Threaded comment]
Your version of Excel allows you to read this threaded comment; however, any edits to it will get removed if the file is opened in a newer version of Excel. Learn more: https://go.microsoft.com/fwlink/?linkid=870924
Comment:
    The total nitrogen amount was calculated by summing the elemental nitrogen content derived from each specified nitrogen-containing compound, specifically converting dinitrogen (interpreted as dinitrogen monoxide) into its nitrogen component, along with ammonia, ammonium, and nitrate, and directly adding the stated 'nitrogen' or 'nitrogen from sediments' values as elemental nitrogen </t>
      </text>
    </comment>
    <comment ref="BB17" authorId="1" shapeId="0" xr:uid="{50E9556A-9071-9A4E-9B9F-A70DCB786895}">
      <text>
        <r>
          <rPr>
            <sz val="10"/>
            <color rgb="FF000000"/>
            <rFont val="Helvetica Neue"/>
            <family val="2"/>
          </rPr>
          <t>Microsoft Office User:</t>
        </r>
        <r>
          <rPr>
            <b/>
            <sz val="10"/>
            <color rgb="FF000000"/>
            <rFont val="Helvetica Neue"/>
            <family val="2"/>
          </rPr>
          <t xml:space="preserve">
</t>
        </r>
        <r>
          <rPr>
            <b/>
            <sz val="10"/>
            <color rgb="FF000000"/>
            <rFont val="Helvetica Neue"/>
            <family val="2"/>
          </rPr>
          <t>275 domestic, mixed fisheries; 13 domestic tuna bp</t>
        </r>
      </text>
    </comment>
    <comment ref="BE17" authorId="1" shapeId="0" xr:uid="{552D43FF-5092-B947-A941-C402D2C45D37}">
      <text>
        <r>
          <rPr>
            <b/>
            <sz val="10"/>
            <color rgb="FF000000"/>
            <rFont val="Tahoma"/>
            <family val="2"/>
          </rPr>
          <t>Microsoft Office User:</t>
        </r>
        <r>
          <rPr>
            <sz val="10"/>
            <color rgb="FF000000"/>
            <rFont val="Tahoma"/>
            <family val="2"/>
          </rPr>
          <t xml:space="preserve">
</t>
        </r>
        <r>
          <rPr>
            <sz val="10"/>
            <color rgb="FF000000"/>
            <rFont val="Tahoma"/>
            <family val="2"/>
          </rPr>
          <t>166 from US, 142 from AU</t>
        </r>
      </text>
    </comment>
    <comment ref="BB19" authorId="1" shapeId="0" xr:uid="{7259A563-A21A-FF43-9658-C90C19029216}">
      <text>
        <r>
          <rPr>
            <sz val="10"/>
            <color rgb="FF000000"/>
            <rFont val="Helvetica Neue"/>
            <family val="2"/>
          </rPr>
          <t>Microsoft Office User:</t>
        </r>
        <r>
          <rPr>
            <b/>
            <sz val="10"/>
            <color rgb="FF000000"/>
            <rFont val="Helvetica Neue"/>
            <family val="2"/>
          </rPr>
          <t xml:space="preserve">
</t>
        </r>
        <r>
          <rPr>
            <b/>
            <sz val="10"/>
            <color rgb="FF000000"/>
            <rFont val="Helvetica Neue"/>
            <family val="2"/>
          </rPr>
          <t>115 imported, 168 local</t>
        </r>
      </text>
    </comment>
  </commentList>
</comments>
</file>

<file path=xl/sharedStrings.xml><?xml version="1.0" encoding="utf-8"?>
<sst xmlns="http://schemas.openxmlformats.org/spreadsheetml/2006/main" count="1138" uniqueCount="668">
  <si>
    <t>Authors</t>
  </si>
  <si>
    <t>Article Title</t>
  </si>
  <si>
    <t>Publication Year</t>
  </si>
  <si>
    <t>DOI Link</t>
  </si>
  <si>
    <t>Jonell, M; Henriksson, PJG</t>
  </si>
  <si>
    <t/>
  </si>
  <si>
    <t>Mangrove-shrimp farms in Vietnam-Comparing organic and conventional systems using life cycle assessment</t>
  </si>
  <si>
    <t>Sun, Y; Hou, HC; Dong, DP; Zhang, JS; Yang, XH; Li, X; Song, XF</t>
  </si>
  <si>
    <t>Comparative life cycle assessment of whiteleg shrimp (Penaeus vannamei) cultured in recirculating aquaculture systems (RAS), biofloc technology (BFT) and higher-place ponds (HPP) farming systems in China</t>
  </si>
  <si>
    <t>Cortés, A; Casillas-Hernández, R; Cambeses-Franco, C; Bórquez-López, R; Magallón-Barajas, F; Quadros-Seiffert, W; Feijoo, G; Moreira, MT</t>
  </si>
  <si>
    <t>Eco-efficiency assessment of shrimp aquaculture production in Mexico</t>
  </si>
  <si>
    <t>Haslawati, B; Saadiah, I; Siti-Dina, RP; Othman, M; Latif, MT</t>
  </si>
  <si>
    <t>Environmental Assessment of Giant Freshwater Prawn, Macrobrachium rosenbergii Farming through Life Cycle Assessment</t>
  </si>
  <si>
    <t>Santos, AAO; Aubin, J; Corson, MS; Valenti, WC; Camargo, AFM</t>
  </si>
  <si>
    <t>Comparing environmental impacts of native and introduced freshwater prawn farming in Brazil and the influence of better effluent management using LCA</t>
  </si>
  <si>
    <t>Farmery, A; Gardner, C; Green, BS; Jennings, S; Watson, R</t>
  </si>
  <si>
    <t>Life cycle assessment of wild capture prawns: expanding sustainability considerations in the Australian Northern Prawn Fishery</t>
  </si>
  <si>
    <t>Samuel-Fitwi, B; Nagel, F; Meyer, S; Schroeder, JP; Schulz, C</t>
  </si>
  <si>
    <t>Comparative life cycle assessment (LCA) of raising rainbow trout (Oncorhynchus mykiss) in different production systems</t>
  </si>
  <si>
    <t>Al Eissa, A; Chen, P; Brown, PB; Huang, JY</t>
  </si>
  <si>
    <t>Effects of feed formula and farming system on the environmental performance of shrimp production chain from a life cycle perspective</t>
  </si>
  <si>
    <t>Mungkung, RT; de Haes, HAU; Clift, R</t>
  </si>
  <si>
    <t>Potentials and limitations of life cycle assessment in setting ecolabelling criteria: A case study of Thai shrimp aquaculture product</t>
  </si>
  <si>
    <t>Cao, L; Diana, JS; Keoleian, GA; Lai, QM</t>
  </si>
  <si>
    <t>Life Cycle Assessment of Chinese Shrimp Farming Systems Targeted for Export and Domestic Sales</t>
  </si>
  <si>
    <t>Järviö, N; Henriksson, PJG; Guinée, JB</t>
  </si>
  <si>
    <t>Including GHG emissions from mangrove forests LULUC in LCA: a case study on shrimp farming in the Mekong Delta, Vietnam</t>
  </si>
  <si>
    <t>Lebel, L; Mungkung, R; Gheewala, SH; Lebel, P</t>
  </si>
  <si>
    <t>Innovation cycles, niches and sustainability in the shrimp aquaculture industry in Thailand</t>
  </si>
  <si>
    <t>Muñoz, I; Rodríguez, C; Gillet, D; Moerschbacher, BM</t>
  </si>
  <si>
    <t>Life cycle assessment of chitosan production in India and Europe</t>
  </si>
  <si>
    <t>Medeiros, MV; Aubin, J; Camargo, AFM</t>
  </si>
  <si>
    <t>Life cycle assessment of fish and prawn production: Comparison of monoculture and polyculture freshwater systems in Brazil</t>
  </si>
  <si>
    <t>Ramesh, P; Jasmin, SA; Tanveer, M; Ganeshan, P; Rajendran, K; Kamilya, D; Brindhadevi, K</t>
  </si>
  <si>
    <t>Environmental impacts and effects on greenhouse gas emissions in shrimp feed production system for aquaculture - A case study in India</t>
  </si>
  <si>
    <t>Pelletier, NL; Ayer, NW; Tyedmers, PH; Kruse, SA; Flysjo, A; Robillard, G; Ziegler, F; Scholz, AJ; Sonesson, U</t>
  </si>
  <si>
    <t>Impact categories for life cycle assessment research of seafood production systems: Review and prospectus</t>
  </si>
  <si>
    <t>Cozer, N; Dal Pont, G; Horodesky, A; Ostrensky, A</t>
  </si>
  <si>
    <t>Infrastructure, management and energy efficiency in a hypothetical semi-intensive shrimp model farm in Brazil: a systematic review and meta-analysis</t>
  </si>
  <si>
    <t>Teah, HY; Fukushima, Y; Onuki, M</t>
  </si>
  <si>
    <t>Experiential Knowledge Complements an LCA-Based Decision Support Framework</t>
  </si>
  <si>
    <t>Davis, RP; Boyd, CE; Davis, DA</t>
  </si>
  <si>
    <t>Resource sharing and resource sparing, understanding the role of production intensity and farm practices in resource use in shrimp aquaculture</t>
  </si>
  <si>
    <t>Henriksson, PJG; Rico, A; Zhang, W; Ahmad-Al-Nahid, S; Newton, R; Phan, LT; Zhang, ZF; Jaithiang, J; Dao, HM; Phu, TM; Little, DC; Murray, FJ; Satapornvanit, K; Liu, LP; Liu, QG; Haque, MM; Kruijssen, F; de Snoo, GR; Heijungs, R; van Bodegom, PM; Guinée, JB</t>
  </si>
  <si>
    <t>Comparison of Asian Aquaculture Products by Use of Statistically Supported Life Cycle Assessment</t>
  </si>
  <si>
    <t>Chang, CC; Chang, KC; Lin, WC; Wu, MH</t>
  </si>
  <si>
    <t>Carbon footprint analysis in the aquaculture industry: Assessment of an ecological shrimp farm</t>
  </si>
  <si>
    <t>Engle, CR; Kumar, G; van Senten, J</t>
  </si>
  <si>
    <t>Resource-use efficiency in US aquaculture: farm-level comparisons across fish species and production systems</t>
  </si>
  <si>
    <t>Aubin, J; Baruthio, A; Mungkung, R; Lazard, J</t>
  </si>
  <si>
    <t>Environmental performance of brackish water polyculture system from a life cycle perspective: A Filipino case study</t>
  </si>
  <si>
    <t>Samuel-Fitwi, B; Wuertz, S; Schroeder, JP; Schulz, C</t>
  </si>
  <si>
    <t>Sustainability assessment tools to support aquaculture development</t>
  </si>
  <si>
    <t>Pereira, JC; Lemoine, A; Neubauer, P; Junne, S</t>
  </si>
  <si>
    <t>Perspectives for improving circular economy in brackish shrimp aquaculture</t>
  </si>
  <si>
    <t>Verdegem, M; Buschmann, AH; Latt, UW; Dalsgaard, AJT; Lovatelli, A</t>
  </si>
  <si>
    <t>The contribution of aquaculture systems to global aquaculture production</t>
  </si>
  <si>
    <t>Abdou, K; Gascuel, D; Aubin, J; Romdhane, MS; Lasram, FB; Le Loch, F</t>
  </si>
  <si>
    <t>Environmental life cycle assessment of seafood production: A case study of trawler catches in Tunisia</t>
  </si>
  <si>
    <t>Flores-Pérez, MB; Yépez, EA; Robles-Morúa, A; Villa-Ibarra, M; Bórquez-López, R; Gil-Núñez, JC; Lares-Villa, F; Casillas-Hernández, R</t>
  </si>
  <si>
    <t>Eco-efficiency assessment of disease-infected shrimp farming in Mexico using environmental impact assessment tools</t>
  </si>
  <si>
    <t>Ziegler, F; Emanuelsson, A; Eichelsheim, JL; Flysjo, A; Ndiaye, V; Thrane, M</t>
  </si>
  <si>
    <t>Extended Life Cycle Assessment of Southern Pink Shrimp Products Originating in Senegalese Artisanal and Industrial Fisheries for Export to Europe</t>
  </si>
  <si>
    <t>Nguyen, TAT; Nguyen, KAT; Jolly, C</t>
  </si>
  <si>
    <t>Is Super-Intensification the Solution to Shrimp Production and Export Sustainability?</t>
  </si>
  <si>
    <t>Farmery, AK; Jennings, S; Gardner, C; Watson, RA; Green, BS</t>
  </si>
  <si>
    <t>Naturalness as a basis for incorporating marine biodiversity into life cycle assessment of seafood</t>
  </si>
  <si>
    <t>Sfez, S; Van Den Hende, S; Taelman, SE; De Meester, S; Dewulf, J</t>
  </si>
  <si>
    <t>Environmental sustainability assessment of a microalgae raceway pond treating aquaculture wastewater: From up-scaling to system integration</t>
  </si>
  <si>
    <t>Henriksson, PJG; Banks, LK; Suri, SK; Pratiwi, TY; Fatan, NA; Troell, M</t>
  </si>
  <si>
    <t>Indonesian aquaculture futures-identifying interventions for reducing environmental impacts</t>
  </si>
  <si>
    <t>Valenti, WC; Kimpara, JM; Preto, BD; Moraes-Valenti, P</t>
  </si>
  <si>
    <t>Indicators of sustainability to assess aquaculture systems</t>
  </si>
  <si>
    <t>Magnotti, C; Lopes, R; Derner, R; Vinatea, L</t>
  </si>
  <si>
    <t>Using residual water from a marine shrimp farming BFT system. Part II: Artemia franciscana biomass production fed microalgae grown in reused BFT water</t>
  </si>
  <si>
    <t>Boyd, CE; Mcnevin, AA</t>
  </si>
  <si>
    <t>Resource Use and Pollution Potential in Feed-Based Aquaculture</t>
  </si>
  <si>
    <t>Diana, JS</t>
  </si>
  <si>
    <t>Aquaculture Production and Biodiversity Conservation</t>
  </si>
  <si>
    <t>Boyd, CE; McNevin, AA; Racine, P; Tinh, HQ; Minh, HN; Viriyatum, R; Paungkaew, D; Engle, C</t>
  </si>
  <si>
    <t>Resource Use Assessment of Shrimp, Litopenaeus vannamei and Penaeus monodon, Production in Thailand and Vietnam</t>
  </si>
  <si>
    <t>Ponnusamy, PG; Mani, S</t>
  </si>
  <si>
    <t>Life cycle assessment of manufacturing cellulose nanofibril-reinforced chitosan composite films for packaging applications</t>
  </si>
  <si>
    <t>Noguera-Muñoz, FA; García, BG; Ponce-Palafox, JT; Wicab-Gutierrez, O; Castillo-Vargasmachuca, SG; García, JG</t>
  </si>
  <si>
    <t>Sustainability Assessment of White Shrimp (Penaeus vannamei) Production in Super-Intensive System in the Municipality of San Blas, Nayarit, Mexico</t>
  </si>
  <si>
    <t>Ahmed, N; Turchini, GM</t>
  </si>
  <si>
    <t>Recirculating aquaculture systems (RAS): Environmental solution and climate change adaptation</t>
  </si>
  <si>
    <t>Cooney, R; Wan, AHL; O'Donncha, F; Clifford, E</t>
  </si>
  <si>
    <t>Designing environmentally efficient aquafeeds through the use of multicriteria decision support tools</t>
  </si>
  <si>
    <t>Pelletier, N; Tyedmers, P</t>
  </si>
  <si>
    <t>Life Cycle Considerations for Improving Sustainability Assessments in Seafood Awareness Campaigns</t>
  </si>
  <si>
    <t>Riofrio, A; Alcivar, T; Baykara, H</t>
  </si>
  <si>
    <t>Environmental and Economic Viability of Chitosan Production in Guayas-Ecuador: A Robust Investment and Life Cycle Analysis</t>
  </si>
  <si>
    <t>Belettini, F; Seiffert, WQ; Lapa, KR; Vieira, FD; Santo, CMD; Arana, LAV</t>
  </si>
  <si>
    <t>Carbon footprint in commercial cultivation of marine shrimp: a case study in southern Brazil</t>
  </si>
  <si>
    <t>Owsianiak, M; Pusateri, V; Zamalloa, C; de Gussem, E; Verstraete, W; Ryberg, M; Valverde-Pérez, B</t>
  </si>
  <si>
    <t>Performance of second-generation microbial protein used as aquaculture feed in relation to planetary boundaries</t>
  </si>
  <si>
    <t>Henares, MNP; Medeiros, MV; Camargo, AFM</t>
  </si>
  <si>
    <t>Overview of strategies that contribute to the environmental sustainability of pond aquaculture: rearing systems, residue treatment, and environmental assessment tools</t>
  </si>
  <si>
    <t>Röthig, T; Barth, A; Tschirner, M; Schubert, P; Wenning, M; Billion, A; Wilke, T; Vilcinskas, A</t>
  </si>
  <si>
    <t>Insect feed in sustainable crustacean aquaculture</t>
  </si>
  <si>
    <t>Jonell, M; Phillips, M; Rönnbäck, P; Troell, M</t>
  </si>
  <si>
    <t>Eco-certification of Farmed Seafood: Will it Make a Difference?</t>
  </si>
  <si>
    <t>Little, DC; Young, JA; Zhang, WB; Newton, RW; Al Mamun, A; Murray, FJ</t>
  </si>
  <si>
    <t>Sustainable intensification of aquaculture value chains between Asia and Europe: A framework for understanding impacts and challenges</t>
  </si>
  <si>
    <t>Ziegler, F; Hornborg, S; Valentinsson, D; Hognes, ES; Sovik, G; Eigaard, OR</t>
  </si>
  <si>
    <t>Same stock, different management: quantifying the sustainability of three shrimp fisheries in the Skagerrak from a product perspective</t>
  </si>
  <si>
    <t>Using residual water from a marine shrimp farming BFT system. part I: nutrient removal and marine microalgae biomass production</t>
  </si>
  <si>
    <t>Kim, DY; Shinde, SK; Kadam, AA; Saratale, RG; Saratale, GD; Kumar, M; Syed, A; Bahkali, AH; Ghodake, GS</t>
  </si>
  <si>
    <t>RETRACTED: Advantage of Species Diversification to Facilitate Sustainable Development of Aquaculture Sector (Retracted article. See vol. 11, 2022)</t>
  </si>
  <si>
    <t>Lucas, S; Soler, LG; Irz, X; Gascuel, D; Aubin, J; Cloâtre, T</t>
  </si>
  <si>
    <t>The environmental impact of the consumption of fishery and aquaculture products in France</t>
  </si>
  <si>
    <t>Farmery, AK; Gardner, C; Green, BS; Jennings, S; Watson, RA</t>
  </si>
  <si>
    <t>Domestic or imported? An assessment of carbon footprints and sustainability of seafood consumed in Australia</t>
  </si>
  <si>
    <t>McCusker, S; Warberg, MB; Davies, SJ; Valente, CD; Johnson, MP; Cooney, R; Wan, AHL</t>
  </si>
  <si>
    <t>Biofloc technology as part of a sustainable aquaculture system: A review on the status and innovations for its expansion</t>
  </si>
  <si>
    <t>Arifanti, VB; Kauffman, JB; Hadriyanto, D; Murdiyarso, D; Diana, R</t>
  </si>
  <si>
    <t>Carbon dynamics and land use carbon footprints in mangrove-converted aquaculture: The case of the Mahakam Delta, Indonesia</t>
  </si>
  <si>
    <t>Pasquier, E; Beaumont, M; Mattos, BD; Otoni, CG; Winter, A; Rosenau, T; Belgacem, MN; Rojas, OJ; Bras, J</t>
  </si>
  <si>
    <t>Upcycling Byproducts from Insect (Fly Larvae and Mealworm) Farming into Chitin Nanofibers and Films</t>
  </si>
  <si>
    <t>Liu, X; Li, ZR; Sheng, H; Cooney, R; Yuan, ZW</t>
  </si>
  <si>
    <t>The underestimated importance of fertilizer in aquacultural phosphorus budget: Case of Chinese mitten crab</t>
  </si>
  <si>
    <t>Sarker, PK</t>
  </si>
  <si>
    <t>Microorganisms in Fish Feeds, Technological Innovations, and Key Strategies for Sustainable Aquaculture</t>
  </si>
  <si>
    <t>Meramo, S; Gonzalez-Delgado, AD; Sukumara, S; Fajardo, WS; Leon-Pulido, J</t>
  </si>
  <si>
    <t>Sustainable Design Approach for Modeling Bioprocesses from Laboratory toward Commercialization: Optimizing Chitosan Production</t>
  </si>
  <si>
    <t>Naegel, LCA; Rodríguez, S</t>
  </si>
  <si>
    <t>Ecological observations and biomass proximate composition of the brine shrimp Artemia (Crustacea: Anostraca) from Pichilingue, Baja California Sur, Mexico</t>
  </si>
  <si>
    <t>Pinho, SM; de Lima, JP; David, LH; Emerenciano, MGC; Goddek, S; Verdegem, MCJ; Keesman, KJ; Portella, MC</t>
  </si>
  <si>
    <t>FLOCponics: The integration of biofloc technology with plant production</t>
  </si>
  <si>
    <t>Oita, A; Nagano, I; Matsuda, H</t>
  </si>
  <si>
    <t>An improved methodology for calculating the nitrogen footprint of seafood</t>
  </si>
  <si>
    <t>Ziegler, F; Groen, EA; Hornborg, S; Bokkers, EAM; Karlsen, KM; de Boer, IJM</t>
  </si>
  <si>
    <t>Assessing broad life cycle impacts of daily onboard decision-making, annual strategic planning, and fisheries management in a northeast Atlantic trawl fishery</t>
  </si>
  <si>
    <t>Ziegler, F; Jafarzadeh, S; Hognes, ES; Winther, U</t>
  </si>
  <si>
    <t>Greenhouse gas emissions of Norwegian seafoods: From comprehensive to simplified assessment</t>
  </si>
  <si>
    <t>Naegel, LCA; Rodríguez-Astudillo, S</t>
  </si>
  <si>
    <t>Comparison of growth and survival of white shrimp postlarvae (Litopenaeus vannamei) fed dried Artemia biomass versus four commercial feeds and three crustacean meals</t>
  </si>
  <si>
    <t>Naegel, LCA</t>
  </si>
  <si>
    <t>Management strategies to reduce operating costs in a commercial shrimp hatchery in NW Mexico</t>
  </si>
  <si>
    <t>Pelletier, N; Klinger, DH; Sims, NA; Yoshioka, JR; Kittinger, JN</t>
  </si>
  <si>
    <t>Nutritional Attributes, Substitutability, Scalability, and Environmental Intensity of an Illustrative Subset of Current and Future Protein Sources for Aquaculture Feeds: Joint Consideration of Potential Synergies and Trade-offs</t>
  </si>
  <si>
    <t>Ng, SW; Song, B; Fernandez, JG</t>
  </si>
  <si>
    <t>Environmental attributes of fungal-like adhesive materials and future directions for bioinspired manufacturing</t>
  </si>
  <si>
    <t>Li, B; Bao, YW; Li, JX; Bi, JF; Chen, QQ; Cui, HJ; Wang, YX; Tian, JL; Shu, C; Wang, YH; Lang, YX; Zhang, WJ; Tan, H; Huang, QX; Si, X</t>
  </si>
  <si>
    <t>A sub-freshness monitoring chitosan/starch-based colorimetric film for improving color recognition accuracy via controlling the pH value of the film-forming solution</t>
  </si>
  <si>
    <t>Rajan, DK; Mohan, K; Rajarajeswaran, J; Divya, D; Kumar, R; Kandasamy, S; Zhang, SB; Ganesan, AR</t>
  </si>
  <si>
    <t>β-Chitin and chitosan from waste shells of edible mollusks as a functional ingredient</t>
  </si>
  <si>
    <t>Hallström, E; Bergman, K; Mifflin, K; Parker, R; Tyedmers, P; Troell, M; Ziegler, F</t>
  </si>
  <si>
    <t>Combined climate and nutritional performance of seafoods</t>
  </si>
  <si>
    <t>Meramo-Hurtado, S; Urbina-Suaréz, N; González-Delgado, A</t>
  </si>
  <si>
    <t>Computer-aided environmental and exergy analyses of a large-scale production of chitosan microbeads modified with TiO2 nanoparticles</t>
  </si>
  <si>
    <t>Scherer, L; Tomasik, B; Rueda, O; Pfister, S</t>
  </si>
  <si>
    <t>Framework for integrating animal welfare into life cycle sustainability assessment</t>
  </si>
  <si>
    <t>Controlled production of Artemia biomass using an inert commercial diet, compared with the microalgae Chaetoceros</t>
  </si>
  <si>
    <t>Zhang, YZ; Kendall, A</t>
  </si>
  <si>
    <t>Consequential analysis of algal biofuels: Benefits to ocean resources</t>
  </si>
  <si>
    <t>Vicente, FA; Ventura, SPM; Passos, H; Dias, ACRV; Torres-Acosta, MA; Novak, U; Likozar, B</t>
  </si>
  <si>
    <t>Crustacean waste biorefinery as a sustainable cost-effective business model</t>
  </si>
  <si>
    <t>Lu, HF; Tan, YW; Zhang, WS; Qiao, YC; Campbell, DE; Zhou, L; Ren, H</t>
  </si>
  <si>
    <t>Integrated emergy and economic evaluation of lotus-root production systems on reclaimed wetlands surrounding the Pearl River Estuary, China</t>
  </si>
  <si>
    <t>Naegel, LCA; Gomez-Humaran, IM</t>
  </si>
  <si>
    <t>Effect of sample volume and population density on precision of larval population estimates</t>
  </si>
  <si>
    <t>Kos, M; Kahru, A; Drobne, D; Singh, S; Kalcíková, G; Kühnel, D; Rohit, R; Gotvajn, AZ; Jemec, A</t>
  </si>
  <si>
    <t>A case study to optimise and validate the brine shrimp Artemia franciscana immobilisation assay with silver nanoparticles: The role of harmonisation</t>
  </si>
  <si>
    <t>Singh, S; Negi, T; Sagar, NA; Kumar, Y; Tarafdar, A; Sirohi, R; Sindhu, R; Pandey, A</t>
  </si>
  <si>
    <t>Sustainable processes for treatment and management of seafood solid waste</t>
  </si>
  <si>
    <t>Kanchanopas-Barnette, P; Labella, A; Alonso, CM; Manchado, M; Castro, D; Borrego, JJ</t>
  </si>
  <si>
    <t>The First Isolation of Photobacterium damselae subsp damselae from Asian Seabass Lates calcarifer</t>
  </si>
  <si>
    <t>García-Rodriguez, M; Esteban, A</t>
  </si>
  <si>
    <t>On the biology and fishery of Aristeus antennatus (Risso, 1816), (Decapoda, Dendrobranchiata) in the Ibiza Channel (Balearic Islands, Spain)</t>
  </si>
  <si>
    <t>Boyd, CE; McNevin, AA</t>
  </si>
  <si>
    <t>Assessing resource use and environmental impacts</t>
  </si>
  <si>
    <t>Title</t>
  </si>
  <si>
    <t>Year</t>
  </si>
  <si>
    <t>Koniyo Y.</t>
  </si>
  <si>
    <t>Role of Innovations / Interventions to Bring Sustainability in Aquaculture Growth in Indonesia: Integration of Life Cycle Assessment (LCA) Framework</t>
  </si>
  <si>
    <t>Boone Kauffman J.; Arifanti V.B.; Hernández Trejo H.; del Carmen Jesús García M.; Norfolk J.; Cifuentes M.; Hadriyanto D.; Murdiyarso D.</t>
  </si>
  <si>
    <t>The jumbo carbon footprint of a shrimp: carbon losses from mangrove deforestation</t>
  </si>
  <si>
    <t>Ziegler F.; Groen E.A.; Hornborg S.; Bokkers E.A.M.; Karlsen K.M.; de Boer I.J.M.</t>
  </si>
  <si>
    <t>Haslawati B.; Saadiah I.; Siti-Dina R.P.; Othman M.; Latif M.T.</t>
  </si>
  <si>
    <t>Riofrio A.; Alcivar T.; Baykara H.</t>
  </si>
  <si>
    <t>Flores-Pérez M.B.; Yépez E.A.; Robles-Morúa A.; Villa-Ibarra M.; Bórquez-López R.; Gil-Núñez J.C.; Lares-Villa F.; Casillas-Hernández R.</t>
  </si>
  <si>
    <t>Aubin J.; Baruthio A.; Mungkung R.; Lazard J.</t>
  </si>
  <si>
    <t>Tantipanatip W.; Jitpukdee S.; Keeratiurai P.; Tantikamton K.; Thanee N.</t>
  </si>
  <si>
    <t>Life cycle assessment of pacific white shrimp (penaeus vannamei) farming system in trang province, Thailand</t>
  </si>
  <si>
    <t>Al Eissa A.; Chen P.; Brown P.B.; Huang J.-Y.</t>
  </si>
  <si>
    <t>Yi X.; Chen H.; Pan J.; Sun H.</t>
  </si>
  <si>
    <t>The application of life cycle assessment in a typical Litopenaeus vannamei comprehensive utilization process model</t>
  </si>
  <si>
    <t>Farmery A.; Gardner C.; Green B.S.; Jennings S.; Watson R.</t>
  </si>
  <si>
    <t>Life cycle assessment of wild capture prawns: Expanding sustainability considerations in the Australian Northern Prawn Fishery</t>
  </si>
  <si>
    <t>Teah H.Y.; Fukushima Y.; Onuki M.</t>
  </si>
  <si>
    <t>Experiential knowledge complements an LCA-based decision support framework</t>
  </si>
  <si>
    <t>Lebel L.; Mungkung R.; Gheewala S.H.; Lebel P.</t>
  </si>
  <si>
    <t>Ponnusamy P.G.; Mani S.</t>
  </si>
  <si>
    <t>Farmery A.K.; Jennings S.; Gardner C.; Watson R.A.; Green B.S.</t>
  </si>
  <si>
    <t>Henriksson P.J.G.; Rico A.; Zhang W.; Ahmad-Al-Nahid S.; Newton R.; Phan L.T.; Zhang Z.; Jaithiang J.; Dao H.M.; Phu T.M.; Little D.C.; Murray F.J.; Satapornvanit K.; Liu L.; Liu Q.; Haque M.M.; Kruijssen F.; De Snoo G.R.; Heijungs R.; Van Bodegom P.M.; Guinée J.B.</t>
  </si>
  <si>
    <t>Järviö N.; Henriksson P.J.G.; Guinée J.B.</t>
  </si>
  <si>
    <t>Correction to: Including GHG emissions from mangrove forests LULUC in LCA: a case study on shrimp farming in the Mekong Delta, Vietnam (The International Journal of Life Cycle Assessment, (2018), 23, 5, (1078-1090), 10.1007/s11367-017-1332-9)</t>
  </si>
  <si>
    <t>Santos A.A.O.; Aubin J.; Corson M.S.; Valenti W.C.; Camargo A.F.M.</t>
  </si>
  <si>
    <t>Mungkung R.T.; Udo De Haes H.A.; Clift R.</t>
  </si>
  <si>
    <t>Cortés A.; Casillas-Hernández R.; Cambeses-Franco C.; Bórquez-López R.; Magallón-Barajas F.; Quadros-Seiffert W.; Feijoo G.; Moreira M.T.</t>
  </si>
  <si>
    <t>Gargalo C.L.; Rodrigues L.A.; Paiva A.; Gernaey K.V.; Carvalho A.</t>
  </si>
  <si>
    <t>LCA modelling as a decision-tool for experimental design: the case of extraction of astaxanthin from crab waste</t>
  </si>
  <si>
    <t>Henriksson P.J.G.; Banks L.K.; Suri S.K.; Pratiwi T.Y.; Fatan N.A.; Troell M.</t>
  </si>
  <si>
    <t>Meramo S.; González-Delgado Á.D.; Sukumara S.; Fajardo W.S.; León-Pulido J.</t>
  </si>
  <si>
    <t>Sustainable design approach for modeling bioprocesses from laboratory toward commercialization: Optimizing chitosan production</t>
  </si>
  <si>
    <t>Medeiros M.V.; Aubin J.; Camargo A.F.M.</t>
  </si>
  <si>
    <t>Cooney R.; Wan A.H.L.; O'Donncha F.; Clifford E.</t>
  </si>
  <si>
    <t>Muñoz I.; Rodríguez C.; Gillet D.; Moerschbacher B.M.</t>
  </si>
  <si>
    <t>Erratum to: Life cycle assessment of chitosan production in India and Europe (The International Journal of Life Cycle Assessment, (2018), 23, 5, (1151-1160), 10.1007/s11367-017-1290-2)</t>
  </si>
  <si>
    <t>Hallström E.; Bergman K.; Mifflin K.; Parker R.; Tyedmers P.; Troell M.; Ziegler F.</t>
  </si>
  <si>
    <t>Cripe G.M.; Hemmer B.L.; Goodman L.R.; Vennari J.C.</t>
  </si>
  <si>
    <t>Development of a methodology for successful multigeneration life-cycle testing of the estuarine sheepshead minnow, cyprinodon variegatus</t>
  </si>
  <si>
    <t>Koehn J.Z.; Allison E.H.; Golden C.D.; Hilborn R.</t>
  </si>
  <si>
    <t>The role of seafood in sustainable diets</t>
  </si>
  <si>
    <t>Scherer L.; Tomasik B.; Rueda O.; Pfister S.</t>
  </si>
  <si>
    <t>Ahmad A.; W. Hassan S.; Banat F.</t>
  </si>
  <si>
    <t>An overview of microalgae biomass as a sustainable aquaculture feed ingredient: food security and circular economy</t>
  </si>
  <si>
    <t>Little D.C.; Murray F.J.; Telfer T.C.; Young J.A.; Ross L.G.; Hill B.; Dalsgard A.; Van den Brink P.; Guinée J.; Kleijn R.; Mungkung R.; Yi Y.; Min J.; Liping L.; Huanan L.; Yuan L.; Derun Y.; Phuong N.T.; Hai T.N.; Liem P.T.; Ut V.N.; Tung V.T.; Viet T.V.; Satapornvanit K.; Pongthanapanich T.; Wahab M.A.; Nowsad Alam A.K.M.; Haque M.M.; Salam M.A.; Corsin F.; Pemsl D.; Allison E.; Beveridge M.C.M.; Karunasagar I.; Subasinghe R.; Kaiser M.; Sveinson Haugen A.; Ponte S.</t>
  </si>
  <si>
    <t>Sustaining ethical trade in farmed aquatic products between Asia and the EU</t>
  </si>
  <si>
    <t>Heisterkamp I.M.; Schramm A.; de Beer D.; Stief P.</t>
  </si>
  <si>
    <t>Direct nitrous oxide emission from the aquacultured Pacific white shrimp (Litopenaeus vannamei)</t>
  </si>
  <si>
    <t>Vicente F.A.; Ventura S.P.M.; Passos H.; Dias A.C.R.V.; Torres-Acosta M.A.; Novak U.; Likozar B.</t>
  </si>
  <si>
    <t>Sánchez C.J.B.; Zambrano G.G.M.; López Briones J.R.; Coronel C.A.V.</t>
  </si>
  <si>
    <t>Life Cycle Analysis of Farmed Shrimp of the Species Litopenaeus Vannamei in the Province of Guayas</t>
  </si>
  <si>
    <t>Sun Y.; Hou H.; Dong D.; Zhang J.; Yang X.; Li X.; Song X.</t>
  </si>
  <si>
    <t>Owsianiak M.; Pusateri V.; Zamalloa C.; de Gussem E.; Verstraete W.; Ryberg M.; Valverde-Pérez B.</t>
  </si>
  <si>
    <t>Muñoz I.; Rodríguez C.; Gillet D.; M. Moerschbacher B.</t>
  </si>
  <si>
    <t>Jonell M.; Henriksson P.J.G.</t>
  </si>
  <si>
    <t>Ng S.; Song B.; Fernandez J.G.</t>
  </si>
  <si>
    <t>García-Rodriguez M.; Esteban A.</t>
  </si>
  <si>
    <t>Ramesh P.; Jasmin S A.; Tanveer M.; Ganeshan P.; Rajendran K.; Kamilya D.; Brindhadevi K.</t>
  </si>
  <si>
    <t>Environmental impacts and effects on greenhouse gas emissions in shrimp feed production system for aquaculture – A case study in India</t>
  </si>
  <si>
    <t>Belettini F.; Seiffert W.Q.; Lapa K.R.; Vieira F.N.; Santo C.M.E.; Arana L.A.V.</t>
  </si>
  <si>
    <t>Carbon footprint in commercial cultivation of marine shrimp: A case study in southern Brazil</t>
  </si>
  <si>
    <t>Troell M.; Kautsky N.; Beveridge M.; Henriksson P.; Primavera J.; Rönnbäck P.; Folke C.</t>
  </si>
  <si>
    <t>Aquaculture</t>
  </si>
  <si>
    <t>Arifanti V.B.; Kauffman J.B.; Hadriyanto D.; Murdiyarso D.; Diana R.</t>
  </si>
  <si>
    <t>Maucieri C.; Forchino A.A.; Nicoletto C.; Junge R.; Pastres R.; Sambo P.; Borin M.</t>
  </si>
  <si>
    <t>Life cycle assessment of a micro aquaponic system for educational purposes built using recovered material</t>
  </si>
  <si>
    <t>Zhang Y.; Kendall A.</t>
  </si>
  <si>
    <t>Manyin T.; Rowe C.L.</t>
  </si>
  <si>
    <t>Modeling effects of cadmium on population growth of Palaemonetes pugio: Results of a full life cycle exposure</t>
  </si>
  <si>
    <t>Chang C.-C.; Chang K.-C.; Lin W.-C.; Wu M.-H.</t>
  </si>
  <si>
    <t>Cao L.; Diana J.S.; Keoleian G.A.; Lai Q.</t>
  </si>
  <si>
    <t>Life cycle assessment of Chinese shrimp farming systems targeted for export and domestic sales</t>
  </si>
  <si>
    <t>Abdou K.; Gascuel D.; Aubin J.; Romdhane M.S.; Ben Rais Lasram F.; Le Loc'h F.</t>
  </si>
  <si>
    <t>Noguera-Muñoz F.A.; García B.G.; Ponce-Palafox J.T.; Wicab-Gutierrez O.; Castillo-Vargasmachuca S.G.; García J.G.</t>
  </si>
  <si>
    <t>Sustainability assessment of white shrimp (Penaeus vannamei) production in super-intensive system in the municipality of san blas, nayarit, mexico</t>
  </si>
  <si>
    <t>Sfez S.; Van Den Hende S.; Taelman S.E.; De Meester S.; Dewulf J.</t>
  </si>
  <si>
    <t>not previously identified</t>
  </si>
  <si>
    <t>Environmental assessment of Filipino fish/prawn polyculture using Life Cycle Assessment</t>
  </si>
  <si>
    <t>Determining The Ecological Footprint Of Shrimp Aquaculture Through Life Cycle Analysis Of Outdoor Pond Systems</t>
  </si>
  <si>
    <t>Shrimp aquaculture in Thailand: application of life cycle assessment to support sustainable development</t>
  </si>
  <si>
    <t>Same LCI as</t>
  </si>
  <si>
    <t>Not included</t>
  </si>
  <si>
    <t>Life Cycle Assessment Of Indoor Recirculating Shrimp Aquaculture System</t>
  </si>
  <si>
    <t>Sun, W., 2009</t>
  </si>
  <si>
    <t>But already on HESTIA</t>
  </si>
  <si>
    <t>Master thesis</t>
  </si>
  <si>
    <t>First author</t>
  </si>
  <si>
    <t>Country</t>
  </si>
  <si>
    <t>Species</t>
  </si>
  <si>
    <t xml:space="preserve">system boundaries, hatchery </t>
  </si>
  <si>
    <t>system boundaries, processing</t>
  </si>
  <si>
    <t>Software</t>
  </si>
  <si>
    <t>Yes</t>
  </si>
  <si>
    <t>WLS</t>
  </si>
  <si>
    <t xml:space="preserve">Al Eissa, A. </t>
  </si>
  <si>
    <t>No</t>
  </si>
  <si>
    <t xml:space="preserve">Aubin, J. </t>
  </si>
  <si>
    <t xml:space="preserve">Chang, C. </t>
  </si>
  <si>
    <t>SimaPro 9.0</t>
  </si>
  <si>
    <t xml:space="preserve">Henriksson, P. </t>
  </si>
  <si>
    <t>Indonesian aquaculture futures – Evaluating environmental and socioeconomic potentials and limitations</t>
  </si>
  <si>
    <t>Jonell, M.</t>
  </si>
  <si>
    <t>Mangrove–shrimp farms in Vietnam—Comparing organic and conventional systems using life cycle assessment</t>
  </si>
  <si>
    <t>Lebel, L.</t>
  </si>
  <si>
    <t>Mungkung, R.</t>
  </si>
  <si>
    <t xml:space="preserve">Sun, Y. </t>
  </si>
  <si>
    <t>Koniyo, Y.</t>
  </si>
  <si>
    <t>Sanchez, C. J.</t>
  </si>
  <si>
    <t>Tantipanatip W.</t>
  </si>
  <si>
    <t>Show resource use to farmers and consumers and show ways to produce shrimp more sustainable</t>
  </si>
  <si>
    <t>Location</t>
  </si>
  <si>
    <t>Fowler, Indiana</t>
  </si>
  <si>
    <t>SimaPro 8.0</t>
  </si>
  <si>
    <t>SimaPro 8.02.2</t>
  </si>
  <si>
    <t>CML-1A baseline method, V3.01 EU25</t>
  </si>
  <si>
    <t>Hainan province</t>
  </si>
  <si>
    <t>Optimise value chain, promote sustainable production and consumption</t>
  </si>
  <si>
    <t>SimaPro 7.1</t>
  </si>
  <si>
    <t>Ecoinvent 2.2</t>
  </si>
  <si>
    <t>CMLCA 5.2</t>
  </si>
  <si>
    <t>Guayas</t>
  </si>
  <si>
    <t>Quantify environmental impacts and identify most relevant environmental aspects</t>
  </si>
  <si>
    <t>Open LCA software</t>
  </si>
  <si>
    <t>Ecoinvent 3.7.1</t>
  </si>
  <si>
    <t>CML200</t>
  </si>
  <si>
    <t>Guangdong</t>
  </si>
  <si>
    <t>RAS</t>
  </si>
  <si>
    <t>BFT</t>
  </si>
  <si>
    <t>HPP</t>
  </si>
  <si>
    <t>Biofloc</t>
  </si>
  <si>
    <t>Shangdong</t>
  </si>
  <si>
    <t>SimaPRO 9.3.0.2</t>
  </si>
  <si>
    <t>CML-IA </t>
  </si>
  <si>
    <t>Intensive</t>
  </si>
  <si>
    <t>Compare two species</t>
  </si>
  <si>
    <t>Compare two production systems</t>
  </si>
  <si>
    <t>system boundaries, infrastructure</t>
  </si>
  <si>
    <t>Larvae value</t>
  </si>
  <si>
    <t>Yijhu</t>
  </si>
  <si>
    <t>Total cumulative energy demand</t>
  </si>
  <si>
    <t>Biotic resource use</t>
  </si>
  <si>
    <t xml:space="preserve">Cao, L. </t>
  </si>
  <si>
    <t>ReCiPe 2016 v1.1 in a hierarchist perspective</t>
  </si>
  <si>
    <t>Sonora</t>
  </si>
  <si>
    <t>Fossil resource scarcity</t>
  </si>
  <si>
    <t>Pampanga</t>
  </si>
  <si>
    <t>CML2 Baseline 2000 version 2.03</t>
  </si>
  <si>
    <t>SimaPro 7.0</t>
  </si>
  <si>
    <t>Journal</t>
  </si>
  <si>
    <t>Brazilian Journal of Animal Science</t>
  </si>
  <si>
    <t>Journal of Industrial Ecology</t>
  </si>
  <si>
    <t>Environmental Science &amp; Technolgy</t>
  </si>
  <si>
    <t>Journal of Cleaner Production</t>
  </si>
  <si>
    <t>ENVIRONMENTAL SCIENCE &amp; POLICY</t>
  </si>
  <si>
    <t>FishTaxa</t>
  </si>
  <si>
    <t>Advanced Materials Research</t>
  </si>
  <si>
    <t>Trang province</t>
  </si>
  <si>
    <t>Science of the Total Environment</t>
  </si>
  <si>
    <t>ReCiPe Midpoint (H) V1.09 methodology</t>
  </si>
  <si>
    <t>Simapro 8.0.2</t>
  </si>
  <si>
    <t>Migration Letters</t>
  </si>
  <si>
    <t xml:space="preserve">Sumatra, Java, Lombok, and Sulawesi </t>
  </si>
  <si>
    <t>Environmental projections for growth scenarios</t>
  </si>
  <si>
    <t>CML2001</t>
  </si>
  <si>
    <t>West</t>
  </si>
  <si>
    <t>lower</t>
  </si>
  <si>
    <t>East</t>
  </si>
  <si>
    <t>higher</t>
  </si>
  <si>
    <t>South</t>
  </si>
  <si>
    <t>FCR</t>
  </si>
  <si>
    <t>Ben Tre</t>
  </si>
  <si>
    <t xml:space="preserve">Cumulative renewable energy demand </t>
  </si>
  <si>
    <t>49200 / 30300</t>
  </si>
  <si>
    <t>Overcome lack of LCA polyculture studies in Asia</t>
  </si>
  <si>
    <t>Stratospheric ozone depletion</t>
  </si>
  <si>
    <t>Conventional &amp; CoC</t>
  </si>
  <si>
    <t>Biological &amp; CoC</t>
  </si>
  <si>
    <t>Probiotic</t>
  </si>
  <si>
    <t>Ecological</t>
  </si>
  <si>
    <t>Going-to-Organic</t>
  </si>
  <si>
    <t>Comprehensive analysis of environmental consequences and comparison of different farming methods</t>
  </si>
  <si>
    <t>SimaPro 5.1</t>
  </si>
  <si>
    <t>Chunthaburi</t>
  </si>
  <si>
    <t>Chacheongsao</t>
  </si>
  <si>
    <t>CML 2 Baseline 2000</t>
  </si>
  <si>
    <t>High</t>
  </si>
  <si>
    <t>Low</t>
  </si>
  <si>
    <t>The International Journal of Life Cycle Assessment</t>
  </si>
  <si>
    <t xml:space="preserve">up to 32.5 </t>
  </si>
  <si>
    <t>up to 31.25</t>
  </si>
  <si>
    <t>mass</t>
  </si>
  <si>
    <t>Extensive</t>
  </si>
  <si>
    <t>PC</t>
  </si>
  <si>
    <t>MC</t>
  </si>
  <si>
    <t>Method specification</t>
  </si>
  <si>
    <t>Organic</t>
  </si>
  <si>
    <t>Land use m2</t>
  </si>
  <si>
    <t>Feed pellets in kg</t>
  </si>
  <si>
    <t>1000 for inputs / 3 farmgate / 1.8 frozen</t>
  </si>
  <si>
    <t>high density</t>
  </si>
  <si>
    <t>Density (no/m2)</t>
  </si>
  <si>
    <t>low ponds</t>
  </si>
  <si>
    <t>high ponds</t>
  </si>
  <si>
    <t>Diesel value kg</t>
  </si>
  <si>
    <t>Electricity value kWh</t>
  </si>
  <si>
    <t>Cumulative fossil energy demand</t>
  </si>
  <si>
    <t>Abiotic resource depletion, fossil fuels, econ / mass</t>
  </si>
  <si>
    <t>.-58700 / -109000</t>
  </si>
  <si>
    <t xml:space="preserve">.-122000 / -112000 </t>
  </si>
  <si>
    <t>Organic mangrove</t>
  </si>
  <si>
    <t>mangrove</t>
  </si>
  <si>
    <t>per hecatre and live shrimp</t>
  </si>
  <si>
    <t>Identify innovations and interventions that can bring sustainability to the growth of aquaculture in Indonesia</t>
  </si>
  <si>
    <t>No calculations</t>
  </si>
  <si>
    <t xml:space="preserve">CMLCA 5.2 </t>
  </si>
  <si>
    <t>ReCiPe 2016 Midpoint (E) V1.02</t>
  </si>
  <si>
    <t>ISO/TS 14067 and PAS 2050</t>
  </si>
  <si>
    <t>Midpoint CML Baseline</t>
  </si>
  <si>
    <t>Carbon footprint analysis in the aquaculture industry: Assessment of
an ecological shrimp farm</t>
  </si>
  <si>
    <t>Data collection</t>
  </si>
  <si>
    <t>Mono- or Polyculture</t>
  </si>
  <si>
    <t>Self-defined intensity</t>
  </si>
  <si>
    <t>Study sample size</t>
  </si>
  <si>
    <t>Cycle sample size</t>
  </si>
  <si>
    <t>economic</t>
  </si>
  <si>
    <t>Study overview</t>
  </si>
  <si>
    <t>Gasoline value kg</t>
  </si>
  <si>
    <t>Wood value kg</t>
  </si>
  <si>
    <t>LPG value kg</t>
  </si>
  <si>
    <t>Thailand</t>
  </si>
  <si>
    <t>Viet Nam</t>
  </si>
  <si>
    <t>Semi-intensive</t>
  </si>
  <si>
    <t>Study #</t>
  </si>
  <si>
    <t>Cycle #</t>
  </si>
  <si>
    <t>Bac Lieu</t>
  </si>
  <si>
    <t>Soc Trang</t>
  </si>
  <si>
    <t xml:space="preserve">Cà Mau </t>
  </si>
  <si>
    <t>50-80</t>
  </si>
  <si>
    <t>160-200</t>
  </si>
  <si>
    <t>20-30</t>
  </si>
  <si>
    <t>Compare regular year with disease outbreak year</t>
  </si>
  <si>
    <t xml:space="preserve">Address two existing knowledge gaps inthe literature </t>
  </si>
  <si>
    <t>ISO 14067</t>
  </si>
  <si>
    <t>survival rate in percentage</t>
  </si>
  <si>
    <t>Analyse environmental burdens and link them to operational inefficiencies, identify operational improvement actions to reach</t>
  </si>
  <si>
    <t>Evaluate the comparative eco-efficiency per functional unit of 1 tonne of frozen product for some selected aquaculture commodities from Bangladesh, China, Thailand, and Vietnam</t>
  </si>
  <si>
    <t>Belettini, F.</t>
  </si>
  <si>
    <t>26°32'25.53" S/48°39'05.63" W</t>
  </si>
  <si>
    <t>27°34'55.77" S/ 48°26'29.42" W</t>
  </si>
  <si>
    <t>Super-intensive</t>
  </si>
  <si>
    <t xml:space="preserve"> Assess the carbon emission for development of the carbon footprint</t>
  </si>
  <si>
    <t>economic, energy</t>
  </si>
  <si>
    <t>economic, mass</t>
  </si>
  <si>
    <t>econonmic, mass</t>
  </si>
  <si>
    <t>5 months</t>
  </si>
  <si>
    <t>3-4 months</t>
  </si>
  <si>
    <t>Cycle length</t>
  </si>
  <si>
    <t>113 days</t>
  </si>
  <si>
    <t>78 days</t>
  </si>
  <si>
    <t>100-120 days</t>
  </si>
  <si>
    <t>90-110 days</t>
  </si>
  <si>
    <t>60-80</t>
  </si>
  <si>
    <t>Total megajoules used</t>
  </si>
  <si>
    <t>3-3.5 months</t>
  </si>
  <si>
    <t>Larvae measurement</t>
  </si>
  <si>
    <t>baking soda (110)</t>
  </si>
  <si>
    <t>biological extract (132 liters)</t>
  </si>
  <si>
    <t>organic acids (1.1), fertilisers (16.5), bacteria (82.7)</t>
  </si>
  <si>
    <t>low value fish (571), rice bran (114)</t>
  </si>
  <si>
    <t>boiled rice (22); rice bran (255); mustard oil cake (34); wheat bran (59)</t>
  </si>
  <si>
    <t>rice bran (801); mustard oil cake (16); potato (14); wheat flour (1)</t>
  </si>
  <si>
    <t>fish (134); rice bran (12)</t>
  </si>
  <si>
    <t>tea seed leaves (24)</t>
  </si>
  <si>
    <t>Feed formula from Gil Núñez et al., 2020</t>
  </si>
  <si>
    <t>poultry by-product meal (50); rice bran (50); soybean lecithin (30); supplements (40)</t>
  </si>
  <si>
    <t>corn starch (85); squid meal (40); binder (20); soybean lecithin (18); mineral premix (15); vitamin premix (15); cholesterol (5); vitamin C (2); plastic packaging LDPE (5)</t>
  </si>
  <si>
    <t>maize starch (168.95); soybean oil (33.4)</t>
  </si>
  <si>
    <t>squid meal (28); shrimp BP meal (18); groundnut cake (76); soybean oil (7); minerals (15); vitamins (31)</t>
  </si>
  <si>
    <t>meat and bone meal (109); cassava flour (148); wheat (94); DDGS (36); coconut extracted (53)</t>
  </si>
  <si>
    <t>system boundaries, consumption</t>
  </si>
  <si>
    <t>system boundaries, grow-out</t>
  </si>
  <si>
    <t>Philippines</t>
  </si>
  <si>
    <t>Bangladesh</t>
  </si>
  <si>
    <t>Brazil</t>
  </si>
  <si>
    <t>China</t>
  </si>
  <si>
    <t>Indonesia</t>
  </si>
  <si>
    <t>Mexico</t>
  </si>
  <si>
    <t>Ecuador</t>
  </si>
  <si>
    <t>USA</t>
  </si>
  <si>
    <t>Evaluatethe and compare the carbon footprint of a conventional semi-intensive production system and in a super-intensive system with bioflocs</t>
  </si>
  <si>
    <t>China (Taiwan)</t>
  </si>
  <si>
    <t>Compare 3 systems</t>
  </si>
  <si>
    <t>system boundaries, feed production / harvest</t>
  </si>
  <si>
    <t>system boundaries, transport</t>
  </si>
  <si>
    <t>Feed formula from Sun, 2009</t>
  </si>
  <si>
    <t>Other feed inputs: name (amount in kg)</t>
  </si>
  <si>
    <t>squid meal (20); shrimp bpm (50); poultry bpm (10); wheat bran (80); rice bran (50); maize (100); corn gluten meal (10); corn gluten feed (10); palm kernel meal (0); cassava (50); ddgs (20); rapeseed cake (0); palm oil (10); soy lecithin (20); additives (50)</t>
  </si>
  <si>
    <t>rice husk (100); premix (210); shrimp meal (50); binder (13); others (8)</t>
  </si>
  <si>
    <t>rapseed meal (180); others (157)</t>
  </si>
  <si>
    <t>mollucs (12385.5)</t>
  </si>
  <si>
    <t>corn (220)</t>
  </si>
  <si>
    <t>tilapia (2582.7); milkfish (1233.94); mud crabs (876.15)</t>
  </si>
  <si>
    <t>fish (810)</t>
  </si>
  <si>
    <t>fish (16)</t>
  </si>
  <si>
    <t>finfish (954)</t>
  </si>
  <si>
    <t>wild shrimp (705); wild crab (446)</t>
  </si>
  <si>
    <t>giant river prawn (178.1)</t>
  </si>
  <si>
    <t>rice bran (758); molasses (10l)</t>
  </si>
  <si>
    <t xml:space="preserve">  brownsugar (306.0)</t>
  </si>
  <si>
    <t>chlorine (32), micro-organism (32), fertilizer (22), burnt lime (310), limestone (375), clear97 (6), aqua monofix (36), aqua vigor (18)</t>
  </si>
  <si>
    <t>fish (176); molasses (95l)</t>
  </si>
  <si>
    <t>Pond soil &amp; water conditioners and treatments inputs: name (amount in kg)</t>
  </si>
  <si>
    <t>Fertiliser &amp; productivity enhancement inputs: name (amount in kg)</t>
  </si>
  <si>
    <t>chlorine (44.7), calcium carbonate (419), calcium oxide (195)</t>
  </si>
  <si>
    <t>chlorine (103), calcium carbonate  (909), calcium oxide (318)</t>
  </si>
  <si>
    <t>triple superphosphate (28.3), urea (21.2), poultry manure (283)</t>
  </si>
  <si>
    <t>calcium carbonate (555.6)</t>
  </si>
  <si>
    <t>quicklime (104), dolmite (12.8), zeolite (5.6)</t>
  </si>
  <si>
    <t>urea (87)</t>
  </si>
  <si>
    <t>quicklime (2274), zeolite (133)</t>
  </si>
  <si>
    <t>manure (2277)</t>
  </si>
  <si>
    <t>cattle manure (6); fertiliser (13)</t>
  </si>
  <si>
    <t>chlorine (80), burnt lime (595), limestone (700)</t>
  </si>
  <si>
    <t>micro-organism (10), burnt lime (533), limestone (270)</t>
  </si>
  <si>
    <t>chicken manure (1011), rice husk (405)</t>
  </si>
  <si>
    <t>burnt lime (815), limestone (650)</t>
  </si>
  <si>
    <t>micro-organism (12)</t>
  </si>
  <si>
    <t>none</t>
  </si>
  <si>
    <t>Ecoinvent (no version specified)</t>
  </si>
  <si>
    <t>Other pellet ingredients: Name (amount in kg)</t>
  </si>
  <si>
    <t>Land use for feed plant in m²a</t>
  </si>
  <si>
    <t>Phosphorus in kg</t>
  </si>
  <si>
    <t>Other outputs: Name (amount in kg)</t>
  </si>
  <si>
    <t>calcium hypochlorite (0.288); potassium permanganate (0.167); methylene blue (0.0273)</t>
  </si>
  <si>
    <t>Biological &amp; therapeutic agents inputs: name (amount in kg)</t>
  </si>
  <si>
    <t>benzalkonium chloride (0.257); calcium hypochlorite (0.833); chlorine (1.48); iodine (0.637); potassium permanganate (0.345); copper sulfate (0.3)</t>
  </si>
  <si>
    <t>bcdmh (0.0354); benzalkonium bromide (0.0616); calcium hypochlorite (0.103); dbdmh (1.01); glutaraldehyde (0.236); iodine (0.321); potassium permanganate (0.328)</t>
  </si>
  <si>
    <t>avermectin (0.0000244); ivermectin (0.00084); mebendazole (0.00401); zinc sulfate (0.362)</t>
  </si>
  <si>
    <t>bcdmh (0.0462); benzalkonium bromide (0.0804); calcium hypochlorite (0.135); dbdmh (1.32); glutaraldehyde (0.308); iodine (0.419); potassium permanganate (0.428)</t>
  </si>
  <si>
    <t>lorfenicol (0.0045); avermectin (0.0000631); ivermectin (0.00217); mebendazole (0.0104); zinc sulfate (0.936)</t>
  </si>
  <si>
    <t>benzalkonium chloride (0.041); chlorine (4.15); iodine (0.5); formaldehyde (0.000479)</t>
  </si>
  <si>
    <t>oxytetracycline (0.00144)</t>
  </si>
  <si>
    <t>amoxicillin (0.00295); norfloxacin (0.00157); dichlorvos (0.3); trichlorfon (0.0427)</t>
  </si>
  <si>
    <t>GW unknown allocation</t>
  </si>
  <si>
    <t>Amount of impact categories</t>
  </si>
  <si>
    <t>Publ. date</t>
  </si>
  <si>
    <t>GTP</t>
  </si>
  <si>
    <t>ammonia (1.25); nitrous oxide (2.25); ammonium (47.5); nitrate (106)</t>
  </si>
  <si>
    <t>ammonia (4.26); nitrous oxide (7.7); ammonium (159); nitrate (363)</t>
  </si>
  <si>
    <t>Nitrogen in kg</t>
  </si>
  <si>
    <t>CML2 Baseline 2000 version 2.04 Midpoint</t>
  </si>
  <si>
    <t>Tested aspect(s)</t>
  </si>
  <si>
    <t>Allocation method</t>
  </si>
  <si>
    <t>Feed composition, energy source</t>
  </si>
  <si>
    <t>LULUC, allocation method</t>
  </si>
  <si>
    <t>Diesel use for trawling, burnt lime use</t>
  </si>
  <si>
    <t>Monte Carlo Simulations</t>
  </si>
  <si>
    <t>sobenzalkonium chloride (0.041); chlorine (4.15); iodine (0.5); formaldehyde (0.000479)</t>
  </si>
  <si>
    <t>All following values adjusted to functional unit: 1 tonne of liveweight shrimp at farmgate</t>
  </si>
  <si>
    <t>FAO statistics; IPCC Fifth Assessment Report; Redfield ratio data; Rosenbaum et al. data; Rico et al. and Van den Brink databases; U.S. EPA ECOTOX database; University of Hertfordshire pesticide database; TOXNET database; EPA Episuite v4.11; ecoinvent v2.2 database</t>
  </si>
  <si>
    <t>MMAF statistics; FAO FishStat data; BPS data; AsiaFish model; IPCC Fifth Assessment Report; International Energy Agency data; Engineering Toolbox data</t>
  </si>
  <si>
    <t>Amount in kg</t>
  </si>
  <si>
    <t>Product</t>
  </si>
  <si>
    <t>Live shrimp at farmgate</t>
  </si>
  <si>
    <t>not applicable</t>
  </si>
  <si>
    <t>Live shrimp at farmgate and frozen product</t>
  </si>
  <si>
    <t>kilograms</t>
  </si>
  <si>
    <t>animals</t>
  </si>
  <si>
    <t>calcium carbonate (344.8)</t>
  </si>
  <si>
    <t>sanitiser (8.0), quick lime (10.7)</t>
  </si>
  <si>
    <t>sanitiser (12.0), quick lime (16.0)</t>
  </si>
  <si>
    <t>sanitiser (45.0), quick lime (60.1)</t>
  </si>
  <si>
    <t>urea (20.3), monoammonium phosphate (4.7)</t>
  </si>
  <si>
    <t>urea (32.8), monoammonium phosphate (7.5)</t>
  </si>
  <si>
    <t>meat and bone meal (10); blood meal (10); rice bran (14); broken rice (31); wheat bran (10); corn gluten meal (10); corn gluten feed (10); lecithin (10); soybean oil (0.5); palm oil (1.5); vitamines oil (10)</t>
  </si>
  <si>
    <t>local dried fish (140); meat and bone meal (110); mustard oil cake (100); rapeseed cake (10); maize (40); rice bran (90); de-oiled rice bran (10); soybean oil (3)</t>
  </si>
  <si>
    <t>squid meal (10); shrimp bpm (30); poultry bpm (30); wheat bran (100); rice bran (90); maize (100); corn gluten meal (10); corn gluten feed (10); cassava (50); ddgs (20); palm oil (10); soy lecithin (20); additives (30)</t>
  </si>
  <si>
    <t>Pellets ingredients: Fish meal in kg per 1t feed</t>
  </si>
  <si>
    <t>Pellets ingredients: Soy meal in kg per 1t feed</t>
  </si>
  <si>
    <t>Pellets ingredients: Fish oil in kg per 1t feed</t>
  </si>
  <si>
    <t>Pellets ingredients: Wheat flour in kg per 1t feed</t>
  </si>
  <si>
    <t>Did the paper detail emissions for feed production?</t>
  </si>
  <si>
    <t>Co-products: name (amount in kg)</t>
  </si>
  <si>
    <t>GW economic allocation</t>
  </si>
  <si>
    <t>GW energy / mass allocation</t>
  </si>
  <si>
    <t>TA economic allocation</t>
  </si>
  <si>
    <t>TA energy / mass allocation</t>
  </si>
  <si>
    <t>Eutroph. Economic allocation</t>
  </si>
  <si>
    <t>Eutroph. energy / mass allocation</t>
  </si>
  <si>
    <t>Freshwater depletion, econ. Allocation</t>
  </si>
  <si>
    <t>Freshwater depletion, mass allocation</t>
  </si>
  <si>
    <t>Freshwater sediment ecotoxicity</t>
  </si>
  <si>
    <t>Marine sediment ecotoxicity</t>
  </si>
  <si>
    <t xml:space="preserve">Ozone depletion </t>
  </si>
  <si>
    <t xml:space="preserve">Abiotic depletion </t>
  </si>
  <si>
    <t>Land use, economic allocation</t>
  </si>
  <si>
    <t>Land use, mass allocation</t>
  </si>
  <si>
    <t xml:space="preserve">Total toxicity </t>
  </si>
  <si>
    <t xml:space="preserve">Freshwater ecotoxicity, mass allocation
"
"Freshwater ecotoxicity potential (CTUe), econ
</t>
  </si>
  <si>
    <t xml:space="preserve">Freshwater ecotoxicity potential, econ. allocation
</t>
  </si>
  <si>
    <t xml:space="preserve">Photochemical ozone creation </t>
  </si>
  <si>
    <t xml:space="preserve"> </t>
  </si>
  <si>
    <t xml:space="preserve">Human toxicity  </t>
  </si>
  <si>
    <t xml:space="preserve">Freshwater aquatic ecotoxicity </t>
  </si>
  <si>
    <t xml:space="preserve">Marine aquatic ecotoxicity  </t>
  </si>
  <si>
    <t>Heijungs et al. 1992; USEtox, IPCC 5</t>
  </si>
  <si>
    <t>Feed composition, alloction method, feed origins</t>
  </si>
  <si>
    <t>Confidence interval</t>
  </si>
  <si>
    <t xml:space="preserve">Presented results as median values, 1st and 3rd quartiles, and 1st and 9th deciles </t>
  </si>
  <si>
    <t>90% confidence interval of about ±50%</t>
  </si>
  <si>
    <t>365 days</t>
  </si>
  <si>
    <t>120 days</t>
  </si>
  <si>
    <t>90 days</t>
  </si>
  <si>
    <t>ISO 14040 / 14044 claim</t>
  </si>
  <si>
    <t xml:space="preserve">3.2 ISO </t>
  </si>
  <si>
    <t>3.3.1 Study goals</t>
  </si>
  <si>
    <t>3.3.2 Funcitional unit</t>
  </si>
  <si>
    <t>3.3.3 System boundaries</t>
  </si>
  <si>
    <t>Java, South Sulawesi, Sumatra</t>
  </si>
  <si>
    <t>3.3.4 Coproduct allocation</t>
  </si>
  <si>
    <t>Clearly stated assumptions</t>
  </si>
  <si>
    <t>3.3.5 Assumptions</t>
  </si>
  <si>
    <t>3.3.6 Impact assessment methodologies and categories</t>
  </si>
  <si>
    <t>Impact assessment methodologies</t>
  </si>
  <si>
    <t>Impact assessment categories</t>
  </si>
  <si>
    <t>3.1 Identified studies</t>
  </si>
  <si>
    <t>system boundaries, LULUC (farm-level)</t>
  </si>
  <si>
    <t>Ecoinvent 3.0, Agri-footprint database v4.0</t>
  </si>
  <si>
    <t>Background databases</t>
  </si>
  <si>
    <t>Ecoinvent 2.0, government database for regional conditions, ETH-ESU 96 database</t>
  </si>
  <si>
    <t xml:space="preserve">Ecoinvent 2.2, UNEP-WCMC 2019, Global Forest Watch 2018, UNEP-WCMC 2014 </t>
  </si>
  <si>
    <t>Databases within SimaPro 5.1, THEI (2003)</t>
  </si>
  <si>
    <t>Databases within SimaPro 8.0.2</t>
  </si>
  <si>
    <t>Databases within SimaPro 9.0</t>
  </si>
  <si>
    <t>LCA food DK, BUWAL 250, Industry data 2.0, and Ecoinvent databases within SimaPro 9.3.0.2</t>
  </si>
  <si>
    <t>3.4.2 Secondary data</t>
  </si>
  <si>
    <t>3.4.1 Primary data collection</t>
  </si>
  <si>
    <t>3.4.4 Unit process data - inputs</t>
  </si>
  <si>
    <t>3.4.3 Unit process data - cycle outputs</t>
  </si>
  <si>
    <t>3.5.3 LCIA results</t>
  </si>
  <si>
    <t>3.6.2 Sensitivity analyses</t>
  </si>
  <si>
    <t xml:space="preserve"> 3.6.2 Uncertainty analyses</t>
  </si>
  <si>
    <t>yes</t>
  </si>
  <si>
    <t>no</t>
  </si>
  <si>
    <t>others; squidmeal; chicken meal; broken rice</t>
  </si>
  <si>
    <t>630MJ electricity; 176MJ diesel; 250kg steam</t>
  </si>
  <si>
    <t>107.4kWh electricity, 5.48l diesel, 200kg steam</t>
  </si>
  <si>
    <t>18kWh electricity, 16.8l diesel, 37.6kg rice husks for burning, 10.5kg coal</t>
  </si>
  <si>
    <t>320kg steam; 130kWh electricity</t>
  </si>
  <si>
    <t>450kWh electricity</t>
  </si>
  <si>
    <t>238kWh electricity</t>
  </si>
  <si>
    <t>125kWh electricity, 13l heavy fuel oil, 300kg steam</t>
  </si>
  <si>
    <t>255.9KwH electricity, 1,03l diesel, 32.78kg coal, 2.55m3 natural gas</t>
  </si>
  <si>
    <t>144kWh electricity, 0.2l diesel, 0.6l fuel, 12.6kg LPG, hard coal (1014.6), 24.6l heavy fuel oil, 24.5kg palm shells</t>
  </si>
  <si>
    <t>64kWh, 10kg LPG</t>
  </si>
  <si>
    <t>Water used for 1t pellet production in liters</t>
  </si>
  <si>
    <t xml:space="preserve">Cortés, A. </t>
  </si>
  <si>
    <t>Flores-Pérez, M.</t>
  </si>
  <si>
    <t>Suspended solids in kg</t>
  </si>
  <si>
    <t>CO2 emissions in kg</t>
  </si>
  <si>
    <t>methane (382.1793); hexavalent chromium (6.945 × 10^-11); chemical oxygen demand (0.00000224); biochemical oxygen demand (0.00000112); nitrate (0.00000000145); nitrite (2.772 × 10^-10); ammonia nitrogen (9.33 × 10^-10); sulphates (0.000000135); total solids (0.0000441)</t>
  </si>
  <si>
    <t>ammonia (3.1); wastewater (2385m3); biochemical oxygen demand (43)</t>
  </si>
  <si>
    <t>ammonia (1.8); wastewater (1299m3); biochemical oxygen demand (47)</t>
  </si>
  <si>
    <t>ammonia (10); wastewater (2265m3); biochemical oxygen demand (42)</t>
  </si>
  <si>
    <t>ammonia (3.3); wastewater (2265); biochemical oxygen demand (15)</t>
  </si>
  <si>
    <t>ammonia (22); wastewater (3758);biochemical oxygen demand (82)</t>
  </si>
  <si>
    <t>total solids (0.085)</t>
  </si>
  <si>
    <t>total solids (0.022)</t>
  </si>
  <si>
    <t>dinitrogen (1.29); ammonia (0.71); nitrate (60.6); ammonium (26.57); nitrogen (8.767); oxytetracycline (0.00144); benzalkonium chloride (0.041); chlorine (4.15); formaldehyde (0.000479); iodine (0.5)</t>
  </si>
  <si>
    <t>dinitrogen (1.93); ammonia (1.07); nitrate (91.07); ammonium (39.93); nitrogen (13.7); oxytetracycline (0.00144); benzalkonium chloride (0.041); chlorine (4.15); formaldehyde (0.000479); iodine (0.5)</t>
  </si>
  <si>
    <t>dinitrogen (1.81);  ammonia (1.07); nitrate (85.24); ammonium (37.37); nitrogen (11.1); oxytetracycline (0.00144); benzalkonium chloride (0.041); chlorine (4.15); formaldehyde (0.000479); iodine (0.5)</t>
  </si>
  <si>
    <t>dinitrogen (1.68); ammonia (0.93); ammonium (35.5); nitrate (51.67); nitrogen (12.4); amoxicillin (0.00295); norfloxacin (0.00157); benzalkonium chloride (0.257); calcium hypochlorite (0.833); chlorine (1.48); iodine (0.637); potassium permanganate (0.345); copper sulfate (0.3); dichlorvos (0.3); trichlorfon (0.0427)</t>
  </si>
  <si>
    <t>dinitrogen (1.66); ammonia (0.92); ammonium (34.9); nitrate (78.11); nitrogen (12.2); amoxicillin (0.00295); norfloxacin (0.00157); benzalkonium chloride (0.257); calcium hypochlorite (0.833); chlorine (1.48); iodine (0.637); potassium permanganate (0.345); copper sulfate (0.3); dichlorvos (0.3); trichlorfon (0.0427)</t>
  </si>
  <si>
    <t>dinitrogen (0.32); ammonia (0.18); ammonium (14); nitrate (6.04); nitrogen (0.824); calcium hypochlorite (0.288); potassium permanganate (0.167); methylene blue (0.0273)</t>
  </si>
  <si>
    <t>dinitrogen (1.3); ammonia (0.77); ammonium (35.96); nitrate (87.73); nitrogen from sediments (3.3); enrofloxacin (0.003); florfenicol (0.0045); bcdmh (0.0462); benzalkonium bromide (0.0804); calcium hypochlorite (0.135); dbdmh (1.32); glutaraldehyde (0.308); iodine (0.419); potassium permanganate (0.428); avermectin (0.0000631); ivermectin (0.00217); mebendazole (0.0104); zinc sulfate (0.936)</t>
  </si>
  <si>
    <t>dinitrogen (1.39); ammonia (0.72); ammonium (32.9); nitrate (80.27); nitrogen (4); bcdmh (0.0354); benzalkonium bromide (0.0616); calcium hypochlorite (0.103); dbdmh (1.01); glutaraldehyde (0.236); iodine (0.321); potassium permanganate (0.328); avermectin (0.0000244); ivermectin (0.00084); mebendazole (0.00401); zinc sulfate (0.362)</t>
  </si>
  <si>
    <t>chemical oxygen demand (6.3)</t>
  </si>
  <si>
    <t>chemical oxygen demand (24.4)</t>
  </si>
  <si>
    <t>chemical oxygen demand (71.8)</t>
  </si>
  <si>
    <t>Environmental Protection Administration (2013), LCA food, "other public data"</t>
  </si>
  <si>
    <t>Attributional</t>
  </si>
  <si>
    <t>Consequential</t>
  </si>
  <si>
    <t>Sampling method</t>
  </si>
  <si>
    <t>"A sample of farms, representative of common practices"</t>
  </si>
  <si>
    <t>"A total of six hatcheries and 18 farms, which represented different hatchery and farming types, were visited to ensure data quality"</t>
  </si>
  <si>
    <t>"around 145 commercial farms operate in this area, from which 76 farms (52 %) were chosen in this study due to the availability of information."</t>
  </si>
  <si>
    <t>"Farm selection was performed by a random sampling design of farm clusters representing the most important production methods"</t>
  </si>
  <si>
    <t>"Using Henriksson et al. (2019)'s study technique, the authors locate individual farmers through local partner networks that represent farmers close to metropolitan centers"</t>
  </si>
  <si>
    <t>"The determination of the random sample sizes of Krejcie and Morgan was applied"</t>
  </si>
  <si>
    <t>3.3.7 Modelling approach</t>
  </si>
  <si>
    <t>Energy for 1 t pellet production</t>
  </si>
  <si>
    <t>Eutroph. (freshwater)</t>
  </si>
  <si>
    <t>Eutroph. (marine)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</si>
</sst>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0.000000000"/>
    <numFmt numFmtId="165" formatCode="#,##0.0"/>
  </numFmts>
  <fonts count="18" x14ac:knownFonts="1">
    <font>
      <sz val="10"/>
      <name val="Arial"/>
    </font>
    <font>
      <sz val="10"/>
      <name val="Arial"/>
      <family val="2"/>
    </font>
    <font>
      <b/>
      <sz val="10"/>
      <name val="Arial"/>
      <family val="2"/>
    </font>
    <font>
      <sz val="12"/>
      <color rgb="FF000000"/>
      <name val="Calibri"/>
      <family val="2"/>
    </font>
    <font>
      <sz val="11"/>
      <color rgb="FF000000"/>
      <name val="Arial"/>
      <family val="2"/>
    </font>
    <font>
      <sz val="10"/>
      <color rgb="FF000000"/>
      <name val="Tahoma"/>
      <family val="2"/>
    </font>
    <font>
      <b/>
      <sz val="10"/>
      <color rgb="FF000000"/>
      <name val="Tahoma"/>
      <family val="2"/>
    </font>
    <font>
      <i/>
      <sz val="10"/>
      <color rgb="FF000000"/>
      <name val="Arial"/>
      <family val="2"/>
    </font>
    <font>
      <sz val="8"/>
      <color theme="1"/>
      <name val="Arial"/>
      <family val="2"/>
    </font>
    <font>
      <sz val="11"/>
      <name val="Arial"/>
      <family val="2"/>
    </font>
    <font>
      <sz val="11"/>
      <color theme="1"/>
      <name val="Arial"/>
      <family val="2"/>
    </font>
    <font>
      <b/>
      <sz val="11"/>
      <color theme="1"/>
      <name val="Arial"/>
      <family val="2"/>
    </font>
    <font>
      <sz val="11"/>
      <color rgb="FFFF0000"/>
      <name val="Arial"/>
      <family val="2"/>
    </font>
    <font>
      <i/>
      <sz val="11"/>
      <color theme="1"/>
      <name val="Arial"/>
      <family val="2"/>
    </font>
    <font>
      <sz val="10"/>
      <color rgb="FF000000"/>
      <name val="Helvetica Neue"/>
      <family val="2"/>
    </font>
    <font>
      <b/>
      <sz val="10"/>
      <color rgb="FF000000"/>
      <name val="Helvetica Neue"/>
      <family val="2"/>
    </font>
    <font>
      <b/>
      <sz val="11"/>
      <color theme="0"/>
      <name val="Arial"/>
      <family val="2"/>
    </font>
    <font>
      <i/>
      <sz val="10"/>
      <color theme="1"/>
      <name val="Arial"/>
      <family val="2"/>
    </font>
  </fonts>
  <fills count="24">
    <fill>
      <patternFill patternType="none"/>
    </fill>
    <fill>
      <patternFill patternType="gray125"/>
    </fill>
    <fill>
      <patternFill patternType="solid">
        <fgColor theme="7"/>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7" tint="0.39997558519241921"/>
        <bgColor rgb="FF000000"/>
      </patternFill>
    </fill>
    <fill>
      <patternFill patternType="solid">
        <fgColor theme="5" tint="-0.249977111117893"/>
        <bgColor indexed="64"/>
      </patternFill>
    </fill>
    <fill>
      <patternFill patternType="solid">
        <fgColor theme="8" tint="-0.249977111117893"/>
        <bgColor indexed="64"/>
      </patternFill>
    </fill>
    <fill>
      <patternFill patternType="solid">
        <fgColor theme="7" tint="-0.249977111117893"/>
        <bgColor rgb="FF000000"/>
      </patternFill>
    </fill>
    <fill>
      <patternFill patternType="solid">
        <fgColor theme="9" tint="-0.249977111117893"/>
        <bgColor rgb="FF000000"/>
      </patternFill>
    </fill>
    <fill>
      <patternFill patternType="solid">
        <fgColor theme="9" tint="-0.249977111117893"/>
        <bgColor indexed="64"/>
      </patternFill>
    </fill>
    <fill>
      <patternFill patternType="solid">
        <fgColor theme="0" tint="-0.34998626667073579"/>
        <bgColor rgb="FF000000"/>
      </patternFill>
    </fill>
    <fill>
      <patternFill patternType="solid">
        <fgColor theme="0" tint="-0.249977111117893"/>
        <bgColor rgb="FF000000"/>
      </patternFill>
    </fill>
    <fill>
      <patternFill patternType="solid">
        <fgColor theme="0" tint="-0.249977111117893"/>
        <bgColor indexed="64"/>
      </patternFill>
    </fill>
    <fill>
      <patternFill patternType="solid">
        <fgColor theme="7"/>
        <bgColor rgb="FF000000"/>
      </patternFill>
    </fill>
    <fill>
      <patternFill patternType="solid">
        <fgColor theme="7" tint="0.39997558519241921"/>
        <bgColor indexed="64"/>
      </patternFill>
    </fill>
    <fill>
      <patternFill patternType="solid">
        <fgColor theme="7" tint="0.59999389629810485"/>
        <bgColor indexed="64"/>
      </patternFill>
    </fill>
    <fill>
      <patternFill patternType="solid">
        <fgColor theme="1"/>
        <bgColor indexed="64"/>
      </patternFill>
    </fill>
  </fills>
  <borders count="21">
    <border>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diagonal/>
    </border>
    <border>
      <left/>
      <right/>
      <top style="thin">
        <color indexed="64"/>
      </top>
      <bottom/>
      <diagonal/>
    </border>
  </borders>
  <cellStyleXfs count="1">
    <xf numFmtId="0" fontId="0" fillId="0" borderId="0"/>
  </cellStyleXfs>
  <cellXfs count="289">
    <xf numFmtId="0" fontId="0" fillId="0" borderId="0" xfId="0"/>
    <xf numFmtId="0" fontId="1" fillId="0" borderId="0" xfId="0" applyFont="1"/>
    <xf numFmtId="0" fontId="2" fillId="0" borderId="0" xfId="0" applyFont="1"/>
    <xf numFmtId="0" fontId="3" fillId="0" borderId="0" xfId="0" applyFont="1"/>
    <xf numFmtId="0" fontId="0" fillId="2" borderId="0" xfId="0" applyFill="1"/>
    <xf numFmtId="0" fontId="4" fillId="0" borderId="0" xfId="0" applyFont="1"/>
    <xf numFmtId="0" fontId="1" fillId="3" borderId="0" xfId="0" applyFont="1" applyFill="1"/>
    <xf numFmtId="0" fontId="4" fillId="3" borderId="0" xfId="0" applyFont="1" applyFill="1"/>
    <xf numFmtId="0" fontId="0" fillId="3" borderId="0" xfId="0" applyFill="1"/>
    <xf numFmtId="0" fontId="11" fillId="11" borderId="3" xfId="0" applyFont="1" applyFill="1" applyBorder="1" applyAlignment="1">
      <alignment horizontal="center" vertical="center" wrapText="1" shrinkToFit="1"/>
    </xf>
    <xf numFmtId="0" fontId="11" fillId="8" borderId="3" xfId="0" applyFont="1" applyFill="1" applyBorder="1" applyAlignment="1">
      <alignment horizontal="center" vertical="center" wrapText="1" shrinkToFit="1"/>
    </xf>
    <xf numFmtId="0" fontId="9" fillId="0" borderId="3" xfId="0" applyFont="1" applyBorder="1" applyAlignment="1">
      <alignment vertical="center"/>
    </xf>
    <xf numFmtId="0" fontId="10" fillId="0" borderId="3" xfId="0" applyFont="1" applyBorder="1" applyAlignment="1">
      <alignment vertical="center"/>
    </xf>
    <xf numFmtId="0" fontId="11" fillId="7" borderId="3" xfId="0" applyFont="1" applyFill="1" applyBorder="1" applyAlignment="1">
      <alignment horizontal="center" vertical="center" wrapText="1" shrinkToFit="1"/>
    </xf>
    <xf numFmtId="0" fontId="11" fillId="9" borderId="3" xfId="0" applyFont="1" applyFill="1" applyBorder="1" applyAlignment="1">
      <alignment horizontal="center" vertical="center" wrapText="1" shrinkToFit="1"/>
    </xf>
    <xf numFmtId="0" fontId="9" fillId="0" borderId="3" xfId="0" applyFont="1" applyBorder="1" applyAlignment="1">
      <alignment horizontal="center" vertical="center"/>
    </xf>
    <xf numFmtId="0" fontId="10" fillId="6" borderId="3" xfId="0" applyFont="1" applyFill="1" applyBorder="1" applyAlignment="1">
      <alignment horizontal="center" vertical="center"/>
    </xf>
    <xf numFmtId="0" fontId="10" fillId="10" borderId="3" xfId="0" applyFont="1" applyFill="1" applyBorder="1" applyAlignment="1">
      <alignment horizontal="center" vertical="center"/>
    </xf>
    <xf numFmtId="0" fontId="10" fillId="10" borderId="3" xfId="0" applyFont="1" applyFill="1" applyBorder="1" applyAlignment="1">
      <alignment vertical="center"/>
    </xf>
    <xf numFmtId="0" fontId="10" fillId="10" borderId="3" xfId="0" applyFont="1" applyFill="1" applyBorder="1" applyAlignment="1">
      <alignment horizontal="left" vertical="center"/>
    </xf>
    <xf numFmtId="0" fontId="13" fillId="10" borderId="3" xfId="0" applyFont="1" applyFill="1" applyBorder="1" applyAlignment="1">
      <alignment horizontal="center" vertical="center"/>
    </xf>
    <xf numFmtId="0" fontId="10" fillId="4" borderId="3" xfId="0" applyFont="1" applyFill="1" applyBorder="1" applyAlignment="1">
      <alignment horizontal="center" vertical="center"/>
    </xf>
    <xf numFmtId="0" fontId="10" fillId="4" borderId="3" xfId="0" applyFont="1" applyFill="1" applyBorder="1" applyAlignment="1">
      <alignment horizontal="left" vertical="center" wrapText="1"/>
    </xf>
    <xf numFmtId="0" fontId="10" fillId="4" borderId="3" xfId="0" applyFont="1" applyFill="1" applyBorder="1" applyAlignment="1">
      <alignment horizontal="left" vertical="center"/>
    </xf>
    <xf numFmtId="0" fontId="13" fillId="10" borderId="3" xfId="0" applyFont="1" applyFill="1" applyBorder="1" applyAlignment="1">
      <alignment horizontal="left" vertical="center"/>
    </xf>
    <xf numFmtId="0" fontId="9" fillId="0" borderId="3" xfId="0" applyFont="1" applyBorder="1" applyAlignment="1">
      <alignment horizontal="left" vertical="center" wrapText="1"/>
    </xf>
    <xf numFmtId="0" fontId="9" fillId="0" borderId="3" xfId="0" applyFont="1" applyBorder="1" applyAlignment="1">
      <alignment horizontal="left" vertical="center"/>
    </xf>
    <xf numFmtId="0" fontId="10" fillId="4" borderId="2" xfId="0" applyFont="1" applyFill="1" applyBorder="1" applyAlignment="1">
      <alignment horizontal="center" vertical="center"/>
    </xf>
    <xf numFmtId="0" fontId="10" fillId="6" borderId="2" xfId="0" applyFont="1" applyFill="1" applyBorder="1" applyAlignment="1">
      <alignment horizontal="center" vertical="center"/>
    </xf>
    <xf numFmtId="0" fontId="10" fillId="10" borderId="2" xfId="0" applyFont="1" applyFill="1" applyBorder="1" applyAlignment="1">
      <alignment horizontal="center" vertical="center"/>
    </xf>
    <xf numFmtId="165" fontId="10" fillId="4" borderId="3" xfId="0" applyNumberFormat="1" applyFont="1" applyFill="1" applyBorder="1" applyAlignment="1">
      <alignment horizontal="center" vertical="center"/>
    </xf>
    <xf numFmtId="0" fontId="11" fillId="8" borderId="3" xfId="0" applyFont="1" applyFill="1" applyBorder="1" applyAlignment="1">
      <alignment horizontal="left" vertical="center" wrapText="1" shrinkToFit="1"/>
    </xf>
    <xf numFmtId="0" fontId="9" fillId="0" borderId="0" xfId="0" applyFont="1" applyAlignment="1">
      <alignment vertical="center"/>
    </xf>
    <xf numFmtId="0" fontId="9" fillId="0" borderId="0" xfId="0" applyFont="1" applyAlignment="1">
      <alignment horizontal="center" vertical="center"/>
    </xf>
    <xf numFmtId="0" fontId="9" fillId="0" borderId="0" xfId="0" applyFont="1" applyAlignment="1">
      <alignment horizontal="left" vertical="center" wrapText="1"/>
    </xf>
    <xf numFmtId="0" fontId="9" fillId="0" borderId="0" xfId="0" applyFont="1" applyAlignment="1">
      <alignment horizontal="left" vertical="center"/>
    </xf>
    <xf numFmtId="0" fontId="10" fillId="0" borderId="0" xfId="0" applyFont="1" applyAlignment="1">
      <alignment vertical="center"/>
    </xf>
    <xf numFmtId="2" fontId="9" fillId="0" borderId="0" xfId="0" applyNumberFormat="1" applyFont="1" applyAlignment="1">
      <alignment vertical="center"/>
    </xf>
    <xf numFmtId="0" fontId="10" fillId="4" borderId="2" xfId="0" applyFont="1" applyFill="1" applyBorder="1" applyAlignment="1">
      <alignment horizontal="left" vertical="center"/>
    </xf>
    <xf numFmtId="0" fontId="11" fillId="11" borderId="3" xfId="0" applyFont="1" applyFill="1" applyBorder="1" applyAlignment="1">
      <alignment vertical="center" wrapText="1"/>
    </xf>
    <xf numFmtId="0" fontId="11" fillId="14" borderId="3" xfId="0" applyFont="1" applyFill="1" applyBorder="1" applyAlignment="1">
      <alignment vertical="center" wrapText="1"/>
    </xf>
    <xf numFmtId="0" fontId="11" fillId="14" borderId="3" xfId="0" applyFont="1" applyFill="1" applyBorder="1" applyAlignment="1">
      <alignment vertical="center" wrapText="1" shrinkToFit="1"/>
    </xf>
    <xf numFmtId="0" fontId="11" fillId="15" borderId="3" xfId="0" applyFont="1" applyFill="1" applyBorder="1" applyAlignment="1">
      <alignment horizontal="left" vertical="center"/>
    </xf>
    <xf numFmtId="0" fontId="10" fillId="10" borderId="2" xfId="0" applyFont="1" applyFill="1" applyBorder="1" applyAlignment="1">
      <alignment vertical="center"/>
    </xf>
    <xf numFmtId="0" fontId="10" fillId="10" borderId="2" xfId="0" applyFont="1" applyFill="1" applyBorder="1" applyAlignment="1">
      <alignment horizontal="left" vertical="center"/>
    </xf>
    <xf numFmtId="165" fontId="10" fillId="4" borderId="2" xfId="0" applyNumberFormat="1" applyFont="1" applyFill="1" applyBorder="1" applyAlignment="1">
      <alignment horizontal="center" vertical="center"/>
    </xf>
    <xf numFmtId="0" fontId="9" fillId="0" borderId="2" xfId="0" applyFont="1" applyBorder="1" applyAlignment="1">
      <alignment vertical="center"/>
    </xf>
    <xf numFmtId="0" fontId="10" fillId="6" borderId="8" xfId="0" applyFont="1" applyFill="1" applyBorder="1" applyAlignment="1">
      <alignment horizontal="center" vertical="center"/>
    </xf>
    <xf numFmtId="0" fontId="10" fillId="6" borderId="8" xfId="0" applyFont="1" applyFill="1" applyBorder="1" applyAlignment="1">
      <alignment horizontal="left" vertical="center"/>
    </xf>
    <xf numFmtId="0" fontId="10" fillId="6" borderId="8" xfId="0" applyFont="1" applyFill="1" applyBorder="1" applyAlignment="1">
      <alignment horizontal="left" vertical="center" wrapText="1"/>
    </xf>
    <xf numFmtId="0" fontId="10" fillId="10" borderId="8" xfId="0" applyFont="1" applyFill="1" applyBorder="1" applyAlignment="1">
      <alignment horizontal="center" vertical="center"/>
    </xf>
    <xf numFmtId="0" fontId="10" fillId="10" borderId="8" xfId="0" applyFont="1" applyFill="1" applyBorder="1" applyAlignment="1">
      <alignment vertical="center"/>
    </xf>
    <xf numFmtId="0" fontId="10" fillId="10" borderId="8" xfId="0" applyFont="1" applyFill="1" applyBorder="1" applyAlignment="1">
      <alignment horizontal="left" vertical="center"/>
    </xf>
    <xf numFmtId="0" fontId="13" fillId="10" borderId="8" xfId="0" applyFont="1" applyFill="1" applyBorder="1" applyAlignment="1">
      <alignment horizontal="center" vertical="center"/>
    </xf>
    <xf numFmtId="0" fontId="10" fillId="3" borderId="8" xfId="0" applyFont="1" applyFill="1" applyBorder="1" applyAlignment="1">
      <alignment horizontal="left" vertical="center" wrapText="1"/>
    </xf>
    <xf numFmtId="0" fontId="10" fillId="3" borderId="8"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8" xfId="0" applyFont="1" applyFill="1" applyBorder="1" applyAlignment="1">
      <alignment horizontal="left" vertical="center" wrapText="1"/>
    </xf>
    <xf numFmtId="0" fontId="10" fillId="4" borderId="8" xfId="0" applyFont="1" applyFill="1" applyBorder="1" applyAlignment="1">
      <alignment horizontal="left" vertical="center"/>
    </xf>
    <xf numFmtId="165" fontId="10" fillId="4" borderId="8" xfId="0" applyNumberFormat="1" applyFont="1" applyFill="1" applyBorder="1" applyAlignment="1">
      <alignment horizontal="center" vertical="center"/>
    </xf>
    <xf numFmtId="0" fontId="9" fillId="0" borderId="8" xfId="0" applyFont="1" applyBorder="1" applyAlignment="1">
      <alignment vertical="center"/>
    </xf>
    <xf numFmtId="0" fontId="8" fillId="4" borderId="2" xfId="0" applyFont="1" applyFill="1" applyBorder="1" applyAlignment="1">
      <alignment vertical="center" wrapText="1"/>
    </xf>
    <xf numFmtId="0" fontId="10" fillId="6" borderId="9" xfId="0" applyFont="1" applyFill="1" applyBorder="1" applyAlignment="1">
      <alignment horizontal="center" vertical="center"/>
    </xf>
    <xf numFmtId="0" fontId="10" fillId="6" borderId="9" xfId="0" applyFont="1" applyFill="1" applyBorder="1" applyAlignment="1">
      <alignment horizontal="left" vertical="center"/>
    </xf>
    <xf numFmtId="0" fontId="10" fillId="6" borderId="9" xfId="0" applyFont="1" applyFill="1" applyBorder="1" applyAlignment="1">
      <alignment horizontal="left" vertical="center" wrapText="1"/>
    </xf>
    <xf numFmtId="0" fontId="10" fillId="10" borderId="9" xfId="0" applyFont="1" applyFill="1" applyBorder="1" applyAlignment="1">
      <alignment horizontal="center" vertical="center"/>
    </xf>
    <xf numFmtId="0" fontId="10" fillId="10" borderId="9" xfId="0" applyFont="1" applyFill="1" applyBorder="1" applyAlignment="1">
      <alignment vertical="center"/>
    </xf>
    <xf numFmtId="0" fontId="10" fillId="10" borderId="9" xfId="0" applyFont="1" applyFill="1" applyBorder="1" applyAlignment="1">
      <alignment horizontal="left" vertical="center"/>
    </xf>
    <xf numFmtId="0" fontId="10" fillId="3" borderId="9" xfId="0" applyFont="1" applyFill="1" applyBorder="1" applyAlignment="1">
      <alignment horizontal="left" vertical="center" wrapText="1"/>
    </xf>
    <xf numFmtId="0" fontId="10" fillId="3" borderId="9" xfId="0" applyFont="1" applyFill="1" applyBorder="1" applyAlignment="1">
      <alignment horizontal="center" vertical="center"/>
    </xf>
    <xf numFmtId="0" fontId="10" fillId="4" borderId="9" xfId="0" applyFont="1" applyFill="1" applyBorder="1" applyAlignment="1">
      <alignment horizontal="center" vertical="center"/>
    </xf>
    <xf numFmtId="0" fontId="10" fillId="4" borderId="9" xfId="0" applyFont="1" applyFill="1" applyBorder="1" applyAlignment="1">
      <alignment horizontal="left" vertical="center" wrapText="1"/>
    </xf>
    <xf numFmtId="0" fontId="10" fillId="4" borderId="9" xfId="0" applyFont="1" applyFill="1" applyBorder="1" applyAlignment="1">
      <alignment horizontal="left" vertical="center"/>
    </xf>
    <xf numFmtId="165" fontId="10" fillId="4" borderId="9" xfId="0" applyNumberFormat="1" applyFont="1" applyFill="1" applyBorder="1" applyAlignment="1">
      <alignment horizontal="center" vertical="center"/>
    </xf>
    <xf numFmtId="0" fontId="9" fillId="0" borderId="9" xfId="0" applyFont="1" applyBorder="1" applyAlignment="1">
      <alignment vertical="center"/>
    </xf>
    <xf numFmtId="0" fontId="8" fillId="4" borderId="8" xfId="0" applyFont="1" applyFill="1" applyBorder="1" applyAlignment="1">
      <alignment vertical="center" wrapText="1"/>
    </xf>
    <xf numFmtId="0" fontId="10" fillId="6" borderId="10" xfId="0" applyFont="1" applyFill="1" applyBorder="1" applyAlignment="1">
      <alignment horizontal="center" vertical="center"/>
    </xf>
    <xf numFmtId="0" fontId="10" fillId="10" borderId="10" xfId="0" applyFont="1" applyFill="1" applyBorder="1" applyAlignment="1">
      <alignment horizontal="center" vertical="center"/>
    </xf>
    <xf numFmtId="0" fontId="10" fillId="10" borderId="10" xfId="0" applyFont="1" applyFill="1" applyBorder="1" applyAlignment="1">
      <alignment vertical="center"/>
    </xf>
    <xf numFmtId="0" fontId="10" fillId="10" borderId="10" xfId="0" applyFont="1" applyFill="1" applyBorder="1" applyAlignment="1">
      <alignment horizontal="left" vertical="center"/>
    </xf>
    <xf numFmtId="0" fontId="10" fillId="4" borderId="10" xfId="0" applyFont="1" applyFill="1" applyBorder="1" applyAlignment="1">
      <alignment horizontal="center" vertical="center"/>
    </xf>
    <xf numFmtId="0" fontId="13" fillId="10" borderId="2" xfId="0" applyFont="1" applyFill="1" applyBorder="1" applyAlignment="1">
      <alignment horizontal="center" vertical="center"/>
    </xf>
    <xf numFmtId="0" fontId="10" fillId="4" borderId="10" xfId="0" applyFont="1" applyFill="1" applyBorder="1" applyAlignment="1">
      <alignment horizontal="left" vertical="center" wrapText="1"/>
    </xf>
    <xf numFmtId="0" fontId="10" fillId="4" borderId="10" xfId="0" applyFont="1" applyFill="1" applyBorder="1" applyAlignment="1">
      <alignment horizontal="left" vertical="center"/>
    </xf>
    <xf numFmtId="165" fontId="10" fillId="4" borderId="10" xfId="0" applyNumberFormat="1" applyFont="1" applyFill="1" applyBorder="1" applyAlignment="1">
      <alignment horizontal="center" vertical="center"/>
    </xf>
    <xf numFmtId="0" fontId="11" fillId="19" borderId="3" xfId="0" applyFont="1" applyFill="1" applyBorder="1" applyAlignment="1">
      <alignment horizontal="center" vertical="center" wrapText="1"/>
    </xf>
    <xf numFmtId="0" fontId="11" fillId="18" borderId="3" xfId="0" applyFont="1" applyFill="1" applyBorder="1" applyAlignment="1">
      <alignment horizontal="center" vertical="center" wrapText="1"/>
    </xf>
    <xf numFmtId="0" fontId="11" fillId="18" borderId="3" xfId="0" applyFont="1" applyFill="1" applyBorder="1" applyAlignment="1">
      <alignment horizontal="center" vertical="center" wrapText="1" shrinkToFit="1"/>
    </xf>
    <xf numFmtId="0" fontId="11" fillId="17" borderId="7" xfId="0" applyFont="1" applyFill="1" applyBorder="1" applyAlignment="1">
      <alignment horizontal="left" vertical="center"/>
    </xf>
    <xf numFmtId="0" fontId="10" fillId="5" borderId="8" xfId="0" applyFont="1" applyFill="1" applyBorder="1" applyAlignment="1">
      <alignment horizontal="center" vertical="center"/>
    </xf>
    <xf numFmtId="0" fontId="10" fillId="5" borderId="8" xfId="0" applyFont="1" applyFill="1" applyBorder="1" applyAlignment="1">
      <alignment horizontal="right" vertical="center"/>
    </xf>
    <xf numFmtId="0" fontId="10" fillId="5" borderId="8" xfId="0" applyFont="1" applyFill="1" applyBorder="1" applyAlignment="1">
      <alignment vertical="center"/>
    </xf>
    <xf numFmtId="0" fontId="10" fillId="5" borderId="9" xfId="0" applyFont="1" applyFill="1" applyBorder="1" applyAlignment="1">
      <alignment horizontal="center" vertical="center"/>
    </xf>
    <xf numFmtId="0" fontId="10" fillId="5" borderId="9" xfId="0" applyFont="1" applyFill="1" applyBorder="1" applyAlignment="1">
      <alignment horizontal="right" vertical="center"/>
    </xf>
    <xf numFmtId="0" fontId="10" fillId="5" borderId="9" xfId="0" applyFont="1" applyFill="1" applyBorder="1" applyAlignment="1">
      <alignment vertical="center"/>
    </xf>
    <xf numFmtId="0" fontId="10" fillId="5" borderId="2" xfId="0" applyFont="1" applyFill="1" applyBorder="1" applyAlignment="1">
      <alignment horizontal="right" vertical="center"/>
    </xf>
    <xf numFmtId="0" fontId="10" fillId="5" borderId="2" xfId="0" applyFont="1" applyFill="1" applyBorder="1" applyAlignment="1">
      <alignment horizontal="center" vertical="center"/>
    </xf>
    <xf numFmtId="0" fontId="10" fillId="5" borderId="2" xfId="0" applyFont="1" applyFill="1" applyBorder="1" applyAlignment="1">
      <alignment vertical="center"/>
    </xf>
    <xf numFmtId="0" fontId="10" fillId="5" borderId="3" xfId="0" applyFont="1" applyFill="1" applyBorder="1" applyAlignment="1">
      <alignment horizontal="right" vertical="center"/>
    </xf>
    <xf numFmtId="0" fontId="10" fillId="5" borderId="3" xfId="0" applyFont="1" applyFill="1" applyBorder="1" applyAlignment="1">
      <alignment vertical="center"/>
    </xf>
    <xf numFmtId="0" fontId="10" fillId="5" borderId="3" xfId="0" applyFont="1" applyFill="1" applyBorder="1" applyAlignment="1">
      <alignment horizontal="center" vertical="center"/>
    </xf>
    <xf numFmtId="0" fontId="11" fillId="20" borderId="7" xfId="0" applyFont="1" applyFill="1" applyBorder="1" applyAlignment="1">
      <alignment horizontal="left" vertical="center"/>
    </xf>
    <xf numFmtId="0" fontId="11" fillId="21" borderId="3" xfId="0" applyFont="1" applyFill="1" applyBorder="1" applyAlignment="1">
      <alignment horizontal="center" vertical="center" wrapText="1"/>
    </xf>
    <xf numFmtId="0" fontId="10" fillId="22" borderId="8" xfId="0" applyFont="1" applyFill="1" applyBorder="1" applyAlignment="1">
      <alignment vertical="center"/>
    </xf>
    <xf numFmtId="0" fontId="10" fillId="22" borderId="9" xfId="0" applyFont="1" applyFill="1" applyBorder="1" applyAlignment="1">
      <alignment vertical="center"/>
    </xf>
    <xf numFmtId="0" fontId="10" fillId="22" borderId="9" xfId="0" applyFont="1" applyFill="1" applyBorder="1" applyAlignment="1">
      <alignment horizontal="center" vertical="center"/>
    </xf>
    <xf numFmtId="0" fontId="11" fillId="11" borderId="5" xfId="0" applyFont="1" applyFill="1" applyBorder="1" applyAlignment="1">
      <alignment horizontal="center" vertical="center" wrapText="1" shrinkToFit="1"/>
    </xf>
    <xf numFmtId="0" fontId="10" fillId="4" borderId="11" xfId="0" applyFont="1" applyFill="1" applyBorder="1" applyAlignment="1">
      <alignment horizontal="center" vertical="center"/>
    </xf>
    <xf numFmtId="0" fontId="11" fillId="14" borderId="3" xfId="0" applyFont="1" applyFill="1" applyBorder="1" applyAlignment="1">
      <alignment horizontal="center" vertical="center" wrapText="1"/>
    </xf>
    <xf numFmtId="0" fontId="10" fillId="10" borderId="11" xfId="0" applyFont="1" applyFill="1" applyBorder="1" applyAlignment="1">
      <alignment horizontal="center" vertical="center"/>
    </xf>
    <xf numFmtId="0" fontId="10" fillId="10" borderId="1" xfId="0" applyFont="1" applyFill="1" applyBorder="1" applyAlignment="1">
      <alignment horizontal="center" vertical="center"/>
    </xf>
    <xf numFmtId="0" fontId="10" fillId="22" borderId="8" xfId="0" applyFont="1" applyFill="1" applyBorder="1" applyAlignment="1">
      <alignment horizontal="center" vertical="center"/>
    </xf>
    <xf numFmtId="0" fontId="11" fillId="7" borderId="3" xfId="0" applyFont="1" applyFill="1" applyBorder="1" applyAlignment="1">
      <alignment horizontal="left" vertical="center" wrapText="1" shrinkToFit="1"/>
    </xf>
    <xf numFmtId="0" fontId="11" fillId="11" borderId="3" xfId="0" applyFont="1" applyFill="1" applyBorder="1" applyAlignment="1">
      <alignment horizontal="center" vertical="center" wrapText="1"/>
    </xf>
    <xf numFmtId="0" fontId="9" fillId="0" borderId="0" xfId="0" applyFont="1" applyAlignment="1">
      <alignment horizontal="center" vertical="center" wrapText="1"/>
    </xf>
    <xf numFmtId="0" fontId="9" fillId="0" borderId="3" xfId="0" applyFont="1" applyBorder="1" applyAlignment="1">
      <alignment horizontal="center" vertical="center" wrapText="1"/>
    </xf>
    <xf numFmtId="0" fontId="7" fillId="0" borderId="0" xfId="0" applyFont="1" applyAlignment="1">
      <alignment horizontal="left" vertical="center" readingOrder="1"/>
    </xf>
    <xf numFmtId="0" fontId="11" fillId="11" borderId="1" xfId="0" applyFont="1" applyFill="1" applyBorder="1" applyAlignment="1">
      <alignment horizontal="center" vertical="center" wrapText="1" shrinkToFit="1"/>
    </xf>
    <xf numFmtId="0" fontId="10" fillId="3" borderId="8" xfId="0" applyFont="1" applyFill="1" applyBorder="1" applyAlignment="1">
      <alignment vertical="center"/>
    </xf>
    <xf numFmtId="0" fontId="10" fillId="3" borderId="9" xfId="0" applyFont="1" applyFill="1" applyBorder="1" applyAlignment="1">
      <alignment vertical="center"/>
    </xf>
    <xf numFmtId="0" fontId="11" fillId="16" borderId="3" xfId="0" applyFont="1" applyFill="1" applyBorder="1" applyAlignment="1">
      <alignment horizontal="left" vertical="center" wrapText="1" shrinkToFit="1"/>
    </xf>
    <xf numFmtId="164" fontId="10" fillId="5" borderId="8" xfId="0" applyNumberFormat="1" applyFont="1" applyFill="1" applyBorder="1" applyAlignment="1">
      <alignment horizontal="center" vertical="center"/>
    </xf>
    <xf numFmtId="164" fontId="10" fillId="5" borderId="9" xfId="0" applyNumberFormat="1" applyFont="1" applyFill="1" applyBorder="1" applyAlignment="1">
      <alignment horizontal="center" vertical="center"/>
    </xf>
    <xf numFmtId="164" fontId="10" fillId="5" borderId="2" xfId="0" applyNumberFormat="1" applyFont="1" applyFill="1" applyBorder="1" applyAlignment="1">
      <alignment horizontal="center" vertical="center"/>
    </xf>
    <xf numFmtId="4" fontId="10" fillId="5" borderId="2" xfId="0" applyNumberFormat="1" applyFont="1" applyFill="1" applyBorder="1" applyAlignment="1">
      <alignment horizontal="center" vertical="center"/>
    </xf>
    <xf numFmtId="4" fontId="10" fillId="5" borderId="8" xfId="0" applyNumberFormat="1" applyFont="1" applyFill="1" applyBorder="1" applyAlignment="1">
      <alignment horizontal="center" vertical="center"/>
    </xf>
    <xf numFmtId="0" fontId="10" fillId="5" borderId="2" xfId="0" applyFont="1" applyFill="1" applyBorder="1" applyAlignment="1">
      <alignment horizontal="center" vertical="center" textRotation="45"/>
    </xf>
    <xf numFmtId="0" fontId="10" fillId="5" borderId="3" xfId="0" applyFont="1" applyFill="1" applyBorder="1" applyAlignment="1">
      <alignment horizontal="center" vertical="center" textRotation="45"/>
    </xf>
    <xf numFmtId="0" fontId="10" fillId="5" borderId="8" xfId="0" applyFont="1" applyFill="1" applyBorder="1" applyAlignment="1">
      <alignment horizontal="center" vertical="center" textRotation="45"/>
    </xf>
    <xf numFmtId="2" fontId="10" fillId="5" borderId="2" xfId="0" applyNumberFormat="1" applyFont="1" applyFill="1" applyBorder="1" applyAlignment="1">
      <alignment horizontal="center" vertical="center"/>
    </xf>
    <xf numFmtId="2" fontId="10" fillId="5" borderId="3" xfId="0" applyNumberFormat="1" applyFont="1" applyFill="1" applyBorder="1" applyAlignment="1">
      <alignment horizontal="center" vertical="center"/>
    </xf>
    <xf numFmtId="2" fontId="10" fillId="5" borderId="8" xfId="0" applyNumberFormat="1" applyFont="1" applyFill="1" applyBorder="1" applyAlignment="1">
      <alignment horizontal="center" vertical="center"/>
    </xf>
    <xf numFmtId="0" fontId="9" fillId="4" borderId="3" xfId="0" applyFont="1" applyFill="1" applyBorder="1" applyAlignment="1">
      <alignment vertical="center"/>
    </xf>
    <xf numFmtId="0" fontId="11" fillId="21" borderId="5" xfId="0" applyFont="1" applyFill="1" applyBorder="1" applyAlignment="1">
      <alignment horizontal="center" vertical="center" wrapText="1"/>
    </xf>
    <xf numFmtId="0" fontId="10" fillId="22" borderId="18" xfId="0" applyFont="1" applyFill="1" applyBorder="1" applyAlignment="1">
      <alignment vertical="center"/>
    </xf>
    <xf numFmtId="0" fontId="10" fillId="22" borderId="14" xfId="0" applyFont="1" applyFill="1" applyBorder="1" applyAlignment="1">
      <alignment vertical="center"/>
    </xf>
    <xf numFmtId="0" fontId="9" fillId="0" borderId="5" xfId="0" applyFont="1" applyBorder="1" applyAlignment="1">
      <alignment vertical="center"/>
    </xf>
    <xf numFmtId="0" fontId="0" fillId="0" borderId="0" xfId="0" applyAlignment="1">
      <alignment horizontal="center"/>
    </xf>
    <xf numFmtId="0" fontId="10" fillId="3" borderId="11" xfId="0" applyFont="1" applyFill="1" applyBorder="1" applyAlignment="1">
      <alignment horizontal="left" vertical="center" wrapText="1"/>
    </xf>
    <xf numFmtId="0" fontId="10" fillId="0" borderId="0" xfId="0" applyFont="1" applyAlignment="1">
      <alignment horizontal="left" vertical="center" wrapText="1"/>
    </xf>
    <xf numFmtId="0" fontId="17" fillId="0" borderId="0" xfId="0" applyFont="1" applyAlignment="1">
      <alignment horizontal="left" vertical="center" readingOrder="1"/>
    </xf>
    <xf numFmtId="0" fontId="10" fillId="0" borderId="3" xfId="0" applyFont="1" applyBorder="1" applyAlignment="1">
      <alignment horizontal="left" vertical="center" wrapText="1"/>
    </xf>
    <xf numFmtId="0" fontId="11" fillId="14" borderId="5" xfId="0" applyFont="1" applyFill="1" applyBorder="1" applyAlignment="1">
      <alignment horizontal="left" vertical="center" wrapText="1"/>
    </xf>
    <xf numFmtId="0" fontId="11" fillId="11" borderId="5" xfId="0" applyFont="1" applyFill="1" applyBorder="1" applyAlignment="1">
      <alignment horizontal="left" vertical="center" wrapText="1"/>
    </xf>
    <xf numFmtId="0" fontId="11" fillId="15" borderId="3" xfId="0" applyFont="1" applyFill="1" applyBorder="1" applyAlignment="1">
      <alignment vertical="center"/>
    </xf>
    <xf numFmtId="0" fontId="11" fillId="8" borderId="3" xfId="0" applyFont="1" applyFill="1" applyBorder="1" applyAlignment="1">
      <alignment vertical="center" wrapText="1" shrinkToFit="1"/>
    </xf>
    <xf numFmtId="0" fontId="10" fillId="4" borderId="9" xfId="0" applyFont="1" applyFill="1" applyBorder="1" applyAlignment="1">
      <alignment vertical="center"/>
    </xf>
    <xf numFmtId="0" fontId="10" fillId="4" borderId="11" xfId="0" applyFont="1" applyFill="1" applyBorder="1" applyAlignment="1">
      <alignment vertical="center"/>
    </xf>
    <xf numFmtId="0" fontId="10" fillId="4" borderId="1" xfId="0" applyFont="1" applyFill="1" applyBorder="1" applyAlignment="1">
      <alignment vertical="center"/>
    </xf>
    <xf numFmtId="165" fontId="10" fillId="0" borderId="0" xfId="0" applyNumberFormat="1" applyFont="1" applyAlignment="1">
      <alignment vertical="center"/>
    </xf>
    <xf numFmtId="165" fontId="9" fillId="0" borderId="0" xfId="0" applyNumberFormat="1" applyFont="1" applyAlignment="1">
      <alignment vertical="center"/>
    </xf>
    <xf numFmtId="0" fontId="10" fillId="5" borderId="4" xfId="0" applyFont="1" applyFill="1" applyBorder="1" applyAlignment="1">
      <alignment horizontal="center" vertical="center"/>
    </xf>
    <xf numFmtId="0" fontId="10" fillId="4" borderId="4" xfId="0" applyFont="1" applyFill="1" applyBorder="1" applyAlignment="1">
      <alignment horizontal="left" vertical="center"/>
    </xf>
    <xf numFmtId="0" fontId="10" fillId="6" borderId="4" xfId="0" applyFont="1" applyFill="1" applyBorder="1" applyAlignment="1">
      <alignment horizontal="center" vertical="center"/>
    </xf>
    <xf numFmtId="0" fontId="10" fillId="4" borderId="8" xfId="0" applyFont="1" applyFill="1" applyBorder="1" applyAlignment="1">
      <alignment vertical="center"/>
    </xf>
    <xf numFmtId="0" fontId="10" fillId="4" borderId="4" xfId="0" applyFont="1" applyFill="1" applyBorder="1" applyAlignment="1">
      <alignment horizontal="center" vertical="center"/>
    </xf>
    <xf numFmtId="0" fontId="10" fillId="4" borderId="11" xfId="0" applyFont="1" applyFill="1" applyBorder="1" applyAlignment="1">
      <alignment horizontal="center" vertical="center"/>
    </xf>
    <xf numFmtId="0" fontId="10" fillId="4" borderId="9" xfId="0" applyFont="1" applyFill="1" applyBorder="1" applyAlignment="1">
      <alignment horizontal="center" vertical="center"/>
    </xf>
    <xf numFmtId="0" fontId="10" fillId="4" borderId="1" xfId="0" applyFont="1" applyFill="1" applyBorder="1" applyAlignment="1">
      <alignment horizontal="center" vertical="center"/>
    </xf>
    <xf numFmtId="0" fontId="10" fillId="3" borderId="11" xfId="0" applyFont="1" applyFill="1" applyBorder="1" applyAlignment="1">
      <alignment horizontal="left" vertical="center" wrapText="1"/>
    </xf>
    <xf numFmtId="0" fontId="10" fillId="3" borderId="9" xfId="0" applyFont="1" applyFill="1" applyBorder="1" applyAlignment="1">
      <alignment horizontal="left" vertical="center" wrapText="1"/>
    </xf>
    <xf numFmtId="0" fontId="10" fillId="3" borderId="1" xfId="0" applyFont="1" applyFill="1" applyBorder="1" applyAlignment="1">
      <alignment horizontal="left" vertical="center" wrapText="1"/>
    </xf>
    <xf numFmtId="0" fontId="10" fillId="4" borderId="16" xfId="0" applyFont="1" applyFill="1" applyBorder="1" applyAlignment="1">
      <alignment horizontal="left" vertical="center"/>
    </xf>
    <xf numFmtId="0" fontId="10" fillId="4" borderId="17" xfId="0" applyFont="1" applyFill="1" applyBorder="1" applyAlignment="1">
      <alignment horizontal="left" vertical="center"/>
    </xf>
    <xf numFmtId="0" fontId="10" fillId="4" borderId="2" xfId="0" applyFont="1" applyFill="1" applyBorder="1" applyAlignment="1">
      <alignment horizontal="center" vertical="center"/>
    </xf>
    <xf numFmtId="0" fontId="10" fillId="4" borderId="4" xfId="0" applyFont="1" applyFill="1" applyBorder="1" applyAlignment="1">
      <alignment horizontal="center" vertical="center"/>
    </xf>
    <xf numFmtId="0" fontId="10" fillId="4" borderId="1" xfId="0" applyFont="1" applyFill="1" applyBorder="1" applyAlignment="1">
      <alignment horizontal="left" vertical="center"/>
    </xf>
    <xf numFmtId="0" fontId="10" fillId="4" borderId="2" xfId="0" applyFont="1" applyFill="1" applyBorder="1" applyAlignment="1">
      <alignment horizontal="left" vertical="center"/>
    </xf>
    <xf numFmtId="0" fontId="10" fillId="4" borderId="4" xfId="0" applyFont="1" applyFill="1" applyBorder="1" applyAlignment="1">
      <alignment horizontal="left" vertical="center"/>
    </xf>
    <xf numFmtId="0" fontId="10" fillId="4" borderId="9" xfId="0" applyFont="1" applyFill="1" applyBorder="1" applyAlignment="1">
      <alignment horizontal="left" vertical="center"/>
    </xf>
    <xf numFmtId="0" fontId="10" fillId="4" borderId="10" xfId="0" applyFont="1" applyFill="1" applyBorder="1" applyAlignment="1">
      <alignment horizontal="left" vertical="center"/>
    </xf>
    <xf numFmtId="0" fontId="10" fillId="4" borderId="3" xfId="0" applyFont="1" applyFill="1" applyBorder="1" applyAlignment="1">
      <alignment horizontal="left" vertical="center"/>
    </xf>
    <xf numFmtId="0" fontId="10" fillId="4" borderId="8" xfId="0" applyFont="1" applyFill="1" applyBorder="1" applyAlignment="1">
      <alignment horizontal="left" vertical="center"/>
    </xf>
    <xf numFmtId="0" fontId="10" fillId="3" borderId="11" xfId="0" applyFont="1" applyFill="1" applyBorder="1" applyAlignment="1">
      <alignment horizontal="center" vertical="center"/>
    </xf>
    <xf numFmtId="0" fontId="10" fillId="3" borderId="9" xfId="0" applyFont="1" applyFill="1" applyBorder="1" applyAlignment="1">
      <alignment horizontal="center" vertical="center"/>
    </xf>
    <xf numFmtId="0" fontId="10" fillId="5" borderId="11" xfId="0" applyFont="1" applyFill="1" applyBorder="1" applyAlignment="1">
      <alignment horizontal="left" vertical="center"/>
    </xf>
    <xf numFmtId="0" fontId="10" fillId="5" borderId="9" xfId="0" applyFont="1" applyFill="1" applyBorder="1" applyAlignment="1">
      <alignment horizontal="left" vertical="center"/>
    </xf>
    <xf numFmtId="0" fontId="10" fillId="5" borderId="1" xfId="0" applyFont="1" applyFill="1" applyBorder="1" applyAlignment="1">
      <alignment horizontal="left" vertical="center"/>
    </xf>
    <xf numFmtId="0" fontId="10" fillId="4" borderId="1" xfId="0" applyFont="1" applyFill="1" applyBorder="1" applyAlignment="1">
      <alignment horizontal="center" vertical="center" wrapText="1"/>
    </xf>
    <xf numFmtId="0" fontId="10" fillId="4" borderId="9" xfId="0" applyFont="1" applyFill="1" applyBorder="1" applyAlignment="1">
      <alignment horizontal="center" vertical="center" wrapText="1"/>
    </xf>
    <xf numFmtId="0" fontId="10" fillId="4" borderId="12" xfId="0" applyFont="1" applyFill="1" applyBorder="1" applyAlignment="1">
      <alignment horizontal="left" vertical="center"/>
    </xf>
    <xf numFmtId="0" fontId="10" fillId="4" borderId="13" xfId="0" applyFont="1" applyFill="1" applyBorder="1" applyAlignment="1">
      <alignment horizontal="left" vertical="center"/>
    </xf>
    <xf numFmtId="0" fontId="10" fillId="4" borderId="14" xfId="0" applyFont="1" applyFill="1" applyBorder="1" applyAlignment="1">
      <alignment horizontal="left" vertical="center"/>
    </xf>
    <xf numFmtId="0" fontId="10" fillId="4" borderId="15" xfId="0" applyFont="1" applyFill="1" applyBorder="1" applyAlignment="1">
      <alignment horizontal="left" vertical="center"/>
    </xf>
    <xf numFmtId="0" fontId="10" fillId="4" borderId="3" xfId="0" applyFont="1" applyFill="1" applyBorder="1" applyAlignment="1">
      <alignment horizontal="center" vertical="center"/>
    </xf>
    <xf numFmtId="0" fontId="10" fillId="4" borderId="8" xfId="0" applyFont="1" applyFill="1" applyBorder="1" applyAlignment="1">
      <alignment horizontal="center" vertical="center"/>
    </xf>
    <xf numFmtId="0" fontId="10" fillId="3" borderId="10" xfId="0" applyFont="1" applyFill="1" applyBorder="1" applyAlignment="1">
      <alignment horizontal="center" vertical="center"/>
    </xf>
    <xf numFmtId="0" fontId="10" fillId="3" borderId="8" xfId="0" applyFont="1" applyFill="1" applyBorder="1" applyAlignment="1">
      <alignment horizontal="center" vertical="center"/>
    </xf>
    <xf numFmtId="44" fontId="10" fillId="3" borderId="10" xfId="0" applyNumberFormat="1" applyFont="1" applyFill="1" applyBorder="1" applyAlignment="1">
      <alignment horizontal="center" vertical="center" wrapText="1"/>
    </xf>
    <xf numFmtId="44" fontId="10" fillId="3" borderId="8" xfId="0" applyNumberFormat="1" applyFont="1" applyFill="1" applyBorder="1" applyAlignment="1">
      <alignment horizontal="center" vertical="center" wrapText="1"/>
    </xf>
    <xf numFmtId="0" fontId="10" fillId="4" borderId="11" xfId="0" applyFont="1" applyFill="1" applyBorder="1" applyAlignment="1">
      <alignment horizontal="left" vertical="center"/>
    </xf>
    <xf numFmtId="0" fontId="16" fillId="23" borderId="4" xfId="0" applyFont="1" applyFill="1" applyBorder="1" applyAlignment="1">
      <alignment horizontal="center" vertical="center" textRotation="90" wrapText="1" shrinkToFit="1"/>
    </xf>
    <xf numFmtId="0" fontId="16" fillId="23" borderId="1" xfId="0" applyFont="1" applyFill="1" applyBorder="1" applyAlignment="1">
      <alignment horizontal="center" vertical="center" textRotation="90" wrapText="1" shrinkToFit="1"/>
    </xf>
    <xf numFmtId="0" fontId="16" fillId="23" borderId="9" xfId="0" applyFont="1" applyFill="1" applyBorder="1" applyAlignment="1">
      <alignment horizontal="center" vertical="center" textRotation="90" wrapText="1" shrinkToFit="1"/>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1" xfId="0" applyFont="1" applyFill="1" applyBorder="1" applyAlignment="1">
      <alignment horizontal="center" vertical="center"/>
    </xf>
    <xf numFmtId="0" fontId="10" fillId="3" borderId="4" xfId="0" applyFont="1" applyFill="1" applyBorder="1" applyAlignment="1">
      <alignment horizontal="center" vertical="center"/>
    </xf>
    <xf numFmtId="0" fontId="10" fillId="6" borderId="11" xfId="0" applyFont="1" applyFill="1" applyBorder="1" applyAlignment="1">
      <alignment horizontal="center" vertical="center"/>
    </xf>
    <xf numFmtId="0" fontId="10" fillId="6" borderId="9" xfId="0" applyFont="1" applyFill="1" applyBorder="1" applyAlignment="1">
      <alignment horizontal="center" vertical="center"/>
    </xf>
    <xf numFmtId="0" fontId="10" fillId="10" borderId="11" xfId="0" applyFont="1" applyFill="1" applyBorder="1" applyAlignment="1">
      <alignment horizontal="center" vertical="center"/>
    </xf>
    <xf numFmtId="0" fontId="10" fillId="10" borderId="1" xfId="0" applyFont="1" applyFill="1" applyBorder="1" applyAlignment="1">
      <alignment horizontal="center" vertical="center"/>
    </xf>
    <xf numFmtId="0" fontId="10" fillId="10" borderId="9" xfId="0" applyFont="1" applyFill="1" applyBorder="1" applyAlignment="1">
      <alignment horizontal="center" vertical="center"/>
    </xf>
    <xf numFmtId="0" fontId="10" fillId="10" borderId="2" xfId="0" applyFont="1" applyFill="1" applyBorder="1" applyAlignment="1">
      <alignment horizontal="center" vertical="center"/>
    </xf>
    <xf numFmtId="0" fontId="10" fillId="10" borderId="4" xfId="0" applyFont="1" applyFill="1" applyBorder="1" applyAlignment="1">
      <alignment horizontal="center" vertical="center"/>
    </xf>
    <xf numFmtId="0" fontId="4" fillId="10" borderId="11" xfId="0" applyFont="1" applyFill="1" applyBorder="1" applyAlignment="1">
      <alignment horizontal="center" vertical="center"/>
    </xf>
    <xf numFmtId="0" fontId="4" fillId="10" borderId="9" xfId="0" applyFont="1" applyFill="1" applyBorder="1" applyAlignment="1">
      <alignment horizontal="center" vertical="center"/>
    </xf>
    <xf numFmtId="0" fontId="10" fillId="6" borderId="2" xfId="0" applyFont="1" applyFill="1" applyBorder="1" applyAlignment="1">
      <alignment horizontal="left" vertical="center"/>
    </xf>
    <xf numFmtId="0" fontId="10" fillId="6" borderId="3" xfId="0" applyFont="1" applyFill="1" applyBorder="1" applyAlignment="1">
      <alignment horizontal="left" vertical="center"/>
    </xf>
    <xf numFmtId="0" fontId="10" fillId="6" borderId="8" xfId="0" applyFont="1" applyFill="1" applyBorder="1" applyAlignment="1">
      <alignment horizontal="left" vertical="center"/>
    </xf>
    <xf numFmtId="0" fontId="10" fillId="6" borderId="10" xfId="0" applyFont="1" applyFill="1" applyBorder="1" applyAlignment="1">
      <alignment horizontal="left" vertical="center"/>
    </xf>
    <xf numFmtId="0" fontId="10" fillId="4" borderId="10" xfId="0" applyFont="1" applyFill="1" applyBorder="1" applyAlignment="1">
      <alignment horizontal="center" vertical="center"/>
    </xf>
    <xf numFmtId="0" fontId="11" fillId="14" borderId="3" xfId="0" applyFont="1" applyFill="1" applyBorder="1" applyAlignment="1">
      <alignment horizontal="center" vertical="center" wrapText="1"/>
    </xf>
    <xf numFmtId="0" fontId="11" fillId="15" borderId="3" xfId="0" applyFont="1" applyFill="1" applyBorder="1" applyAlignment="1">
      <alignment horizontal="left" vertical="center"/>
    </xf>
    <xf numFmtId="0" fontId="10" fillId="4" borderId="10" xfId="0" applyFont="1" applyFill="1" applyBorder="1" applyAlignment="1">
      <alignment horizontal="left" vertical="center" wrapText="1"/>
    </xf>
    <xf numFmtId="0" fontId="10" fillId="4" borderId="8" xfId="0" applyFont="1" applyFill="1" applyBorder="1" applyAlignment="1">
      <alignment horizontal="left" vertical="center" wrapText="1"/>
    </xf>
    <xf numFmtId="0" fontId="10" fillId="4" borderId="2" xfId="0" applyFont="1" applyFill="1" applyBorder="1" applyAlignment="1">
      <alignment horizontal="left" vertical="center" wrapText="1"/>
    </xf>
    <xf numFmtId="0" fontId="10" fillId="4" borderId="3" xfId="0" applyFont="1" applyFill="1" applyBorder="1" applyAlignment="1">
      <alignment horizontal="left" vertical="center" wrapText="1"/>
    </xf>
    <xf numFmtId="0" fontId="10" fillId="4" borderId="1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6" borderId="1" xfId="0" applyFont="1" applyFill="1" applyBorder="1" applyAlignment="1">
      <alignment horizontal="left" vertical="center"/>
    </xf>
    <xf numFmtId="0" fontId="10" fillId="6" borderId="9" xfId="0" applyFont="1" applyFill="1" applyBorder="1" applyAlignment="1">
      <alignment horizontal="left" vertical="center"/>
    </xf>
    <xf numFmtId="0" fontId="10" fillId="6" borderId="11" xfId="0" applyFont="1" applyFill="1" applyBorder="1" applyAlignment="1">
      <alignment horizontal="left" vertical="center"/>
    </xf>
    <xf numFmtId="0" fontId="10" fillId="6" borderId="1" xfId="0" applyFont="1" applyFill="1" applyBorder="1" applyAlignment="1">
      <alignment horizontal="left" vertical="center" wrapText="1"/>
    </xf>
    <xf numFmtId="0" fontId="10" fillId="6" borderId="9" xfId="0" applyFont="1" applyFill="1" applyBorder="1" applyAlignment="1">
      <alignment horizontal="left" vertical="center" wrapText="1"/>
    </xf>
    <xf numFmtId="0" fontId="10" fillId="6" borderId="2" xfId="0" applyFont="1" applyFill="1" applyBorder="1" applyAlignment="1">
      <alignment horizontal="center" vertical="center"/>
    </xf>
    <xf numFmtId="0" fontId="10" fillId="6" borderId="3" xfId="0" applyFont="1" applyFill="1" applyBorder="1" applyAlignment="1">
      <alignment horizontal="center" vertical="center"/>
    </xf>
    <xf numFmtId="0" fontId="10" fillId="6" borderId="8" xfId="0" applyFont="1" applyFill="1" applyBorder="1" applyAlignment="1">
      <alignment horizontal="center" vertical="center"/>
    </xf>
    <xf numFmtId="0" fontId="10" fillId="6" borderId="10" xfId="0" applyFont="1" applyFill="1" applyBorder="1" applyAlignment="1">
      <alignment horizontal="center" vertical="center"/>
    </xf>
    <xf numFmtId="0" fontId="10" fillId="6" borderId="2" xfId="0" applyFont="1" applyFill="1" applyBorder="1" applyAlignment="1">
      <alignment horizontal="left" vertical="center" wrapText="1"/>
    </xf>
    <xf numFmtId="0" fontId="10" fillId="6" borderId="3" xfId="0" applyFont="1" applyFill="1" applyBorder="1" applyAlignment="1">
      <alignment horizontal="left" vertical="center" wrapText="1"/>
    </xf>
    <xf numFmtId="0" fontId="10" fillId="6" borderId="8" xfId="0" applyFont="1" applyFill="1" applyBorder="1" applyAlignment="1">
      <alignment horizontal="left" vertical="center" wrapText="1"/>
    </xf>
    <xf numFmtId="0" fontId="10" fillId="6" borderId="10" xfId="0" applyFont="1" applyFill="1" applyBorder="1" applyAlignment="1">
      <alignment horizontal="left" vertical="center" wrapText="1"/>
    </xf>
    <xf numFmtId="0" fontId="10" fillId="22" borderId="11" xfId="0" applyFont="1" applyFill="1" applyBorder="1" applyAlignment="1">
      <alignment horizontal="center" vertical="center"/>
    </xf>
    <xf numFmtId="0" fontId="10" fillId="22" borderId="9" xfId="0" applyFont="1" applyFill="1" applyBorder="1" applyAlignment="1">
      <alignment horizontal="center" vertical="center"/>
    </xf>
    <xf numFmtId="0" fontId="10" fillId="22" borderId="1" xfId="0" applyFont="1" applyFill="1" applyBorder="1" applyAlignment="1">
      <alignment horizontal="center" vertical="center"/>
    </xf>
    <xf numFmtId="9" fontId="10" fillId="22" borderId="12" xfId="0" applyNumberFormat="1" applyFont="1" applyFill="1" applyBorder="1" applyAlignment="1">
      <alignment horizontal="center" vertical="center"/>
    </xf>
    <xf numFmtId="0" fontId="10" fillId="22" borderId="19" xfId="0" applyFont="1" applyFill="1" applyBorder="1" applyAlignment="1">
      <alignment horizontal="center" vertical="center"/>
    </xf>
    <xf numFmtId="0" fontId="10" fillId="22" borderId="14" xfId="0" applyFont="1" applyFill="1" applyBorder="1" applyAlignment="1">
      <alignment horizontal="center" vertical="center"/>
    </xf>
    <xf numFmtId="0" fontId="10" fillId="5" borderId="4" xfId="0" applyFont="1" applyFill="1" applyBorder="1" applyAlignment="1">
      <alignment horizontal="center" vertical="center"/>
    </xf>
    <xf numFmtId="0" fontId="10" fillId="5" borderId="1" xfId="0" applyFont="1" applyFill="1" applyBorder="1" applyAlignment="1">
      <alignment horizontal="center" vertical="center"/>
    </xf>
    <xf numFmtId="0" fontId="10" fillId="5" borderId="9" xfId="0" applyFont="1" applyFill="1" applyBorder="1" applyAlignment="1">
      <alignment horizontal="center" vertical="center"/>
    </xf>
    <xf numFmtId="0" fontId="11" fillId="12" borderId="3" xfId="0" applyFont="1" applyFill="1" applyBorder="1" applyAlignment="1">
      <alignment horizontal="center" vertical="center"/>
    </xf>
    <xf numFmtId="0" fontId="10" fillId="3" borderId="10" xfId="0" applyFont="1" applyFill="1" applyBorder="1" applyAlignment="1">
      <alignment horizontal="left" vertical="center" wrapText="1"/>
    </xf>
    <xf numFmtId="0" fontId="10" fillId="3" borderId="8" xfId="0" applyFont="1" applyFill="1" applyBorder="1" applyAlignment="1">
      <alignment horizontal="left" vertical="center" wrapText="1"/>
    </xf>
    <xf numFmtId="0" fontId="11" fillId="17" borderId="5" xfId="0" applyFont="1" applyFill="1" applyBorder="1" applyAlignment="1">
      <alignment horizontal="left" vertical="center"/>
    </xf>
    <xf numFmtId="0" fontId="11" fillId="17" borderId="6" xfId="0" applyFont="1" applyFill="1" applyBorder="1" applyAlignment="1">
      <alignment horizontal="left" vertical="center"/>
    </xf>
    <xf numFmtId="0" fontId="11" fillId="17" borderId="7" xfId="0" applyFont="1" applyFill="1" applyBorder="1" applyAlignment="1">
      <alignment horizontal="left" vertical="center"/>
    </xf>
    <xf numFmtId="0" fontId="10" fillId="3" borderId="2" xfId="0" applyFont="1" applyFill="1" applyBorder="1" applyAlignment="1">
      <alignment horizontal="left" vertical="center" wrapText="1"/>
    </xf>
    <xf numFmtId="0" fontId="10" fillId="3" borderId="3" xfId="0" applyFont="1" applyFill="1" applyBorder="1" applyAlignment="1">
      <alignment horizontal="left" vertical="center" wrapText="1"/>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0" fillId="4" borderId="10" xfId="0" applyFont="1" applyFill="1" applyBorder="1" applyAlignment="1">
      <alignment vertical="center"/>
    </xf>
    <xf numFmtId="0" fontId="10" fillId="4" borderId="8" xfId="0" applyFont="1" applyFill="1" applyBorder="1" applyAlignment="1">
      <alignment vertical="center"/>
    </xf>
    <xf numFmtId="0" fontId="11" fillId="14" borderId="5" xfId="0" applyFont="1" applyFill="1" applyBorder="1" applyAlignment="1">
      <alignment horizontal="center" vertical="center" wrapText="1" shrinkToFit="1"/>
    </xf>
    <xf numFmtId="0" fontId="11" fillId="14" borderId="7" xfId="0" applyFont="1" applyFill="1" applyBorder="1" applyAlignment="1">
      <alignment horizontal="center" vertical="center" wrapText="1" shrinkToFit="1"/>
    </xf>
    <xf numFmtId="44" fontId="10" fillId="3" borderId="2" xfId="0" applyNumberFormat="1" applyFont="1" applyFill="1" applyBorder="1" applyAlignment="1">
      <alignment horizontal="center" vertical="center" wrapText="1"/>
    </xf>
    <xf numFmtId="44" fontId="10" fillId="3" borderId="3" xfId="0" applyNumberFormat="1" applyFont="1" applyFill="1" applyBorder="1" applyAlignment="1">
      <alignment horizontal="center" vertical="center" wrapText="1"/>
    </xf>
    <xf numFmtId="0" fontId="10" fillId="6" borderId="1" xfId="0" applyFont="1" applyFill="1" applyBorder="1" applyAlignment="1">
      <alignment horizontal="center" vertical="center"/>
    </xf>
    <xf numFmtId="0" fontId="10" fillId="6" borderId="4" xfId="0" applyFont="1" applyFill="1" applyBorder="1" applyAlignment="1">
      <alignment horizontal="center" vertical="center"/>
    </xf>
    <xf numFmtId="0" fontId="10" fillId="22" borderId="12" xfId="0" applyFont="1" applyFill="1" applyBorder="1" applyAlignment="1">
      <alignment horizontal="center" vertical="center"/>
    </xf>
    <xf numFmtId="0" fontId="10" fillId="22" borderId="12" xfId="0" applyFont="1" applyFill="1" applyBorder="1" applyAlignment="1">
      <alignment horizontal="center" vertical="center" wrapText="1"/>
    </xf>
    <xf numFmtId="0" fontId="10" fillId="22" borderId="14" xfId="0" applyFont="1" applyFill="1" applyBorder="1" applyAlignment="1">
      <alignment horizontal="center" vertical="center" wrapText="1"/>
    </xf>
    <xf numFmtId="0" fontId="10" fillId="5" borderId="11" xfId="0" applyFont="1" applyFill="1" applyBorder="1" applyAlignment="1">
      <alignment horizontal="center" vertical="center"/>
    </xf>
    <xf numFmtId="0" fontId="11" fillId="20" borderId="5" xfId="0" applyFont="1" applyFill="1" applyBorder="1" applyAlignment="1">
      <alignment horizontal="left" vertical="center"/>
    </xf>
    <xf numFmtId="0" fontId="11" fillId="20" borderId="6" xfId="0" applyFont="1" applyFill="1" applyBorder="1" applyAlignment="1">
      <alignment horizontal="left" vertical="center"/>
    </xf>
    <xf numFmtId="0" fontId="12" fillId="5" borderId="11" xfId="0" applyFont="1" applyFill="1" applyBorder="1" applyAlignment="1">
      <alignment horizontal="left" vertical="center"/>
    </xf>
    <xf numFmtId="0" fontId="12" fillId="5" borderId="9" xfId="0" applyFont="1" applyFill="1" applyBorder="1" applyAlignment="1">
      <alignment horizontal="left" vertical="center"/>
    </xf>
    <xf numFmtId="0" fontId="10" fillId="4" borderId="11" xfId="0" applyFont="1" applyFill="1" applyBorder="1" applyAlignment="1">
      <alignment vertical="center" wrapText="1"/>
    </xf>
    <xf numFmtId="0" fontId="10" fillId="4" borderId="9" xfId="0" applyFont="1" applyFill="1" applyBorder="1" applyAlignment="1">
      <alignment vertical="center" wrapText="1"/>
    </xf>
    <xf numFmtId="0" fontId="10" fillId="4" borderId="1" xfId="0" applyFont="1" applyFill="1" applyBorder="1" applyAlignment="1">
      <alignment vertical="center" wrapText="1"/>
    </xf>
    <xf numFmtId="0" fontId="10" fillId="4" borderId="11" xfId="0" applyFont="1" applyFill="1" applyBorder="1" applyAlignment="1">
      <alignment vertical="center"/>
    </xf>
    <xf numFmtId="0" fontId="10" fillId="4" borderId="9" xfId="0" applyFont="1" applyFill="1" applyBorder="1" applyAlignment="1">
      <alignment vertical="center"/>
    </xf>
    <xf numFmtId="0" fontId="11" fillId="13" borderId="5" xfId="0" applyFont="1" applyFill="1" applyBorder="1" applyAlignment="1">
      <alignment horizontal="left" vertical="center"/>
    </xf>
    <xf numFmtId="0" fontId="11" fillId="13" borderId="6" xfId="0" applyFont="1" applyFill="1" applyBorder="1" applyAlignment="1">
      <alignment horizontal="left" vertical="center"/>
    </xf>
    <xf numFmtId="0" fontId="11" fillId="13" borderId="7" xfId="0" applyFont="1" applyFill="1" applyBorder="1" applyAlignment="1">
      <alignment horizontal="left" vertical="center"/>
    </xf>
    <xf numFmtId="0" fontId="10" fillId="3" borderId="11" xfId="0" applyFont="1" applyFill="1" applyBorder="1" applyAlignment="1">
      <alignment horizontal="left" vertical="center"/>
    </xf>
    <xf numFmtId="0" fontId="10" fillId="3" borderId="9" xfId="0" applyFont="1" applyFill="1" applyBorder="1" applyAlignment="1">
      <alignment horizontal="left" vertical="center"/>
    </xf>
    <xf numFmtId="0" fontId="12" fillId="3" borderId="1" xfId="0" applyFont="1" applyFill="1" applyBorder="1" applyAlignment="1">
      <alignment horizontal="left" vertical="center"/>
    </xf>
    <xf numFmtId="0" fontId="12" fillId="3" borderId="9" xfId="0" applyFont="1" applyFill="1" applyBorder="1" applyAlignment="1">
      <alignment horizontal="left" vertical="center"/>
    </xf>
    <xf numFmtId="0" fontId="10" fillId="3" borderId="1" xfId="0" applyFont="1" applyFill="1" applyBorder="1" applyAlignment="1">
      <alignment horizontal="left" vertical="center"/>
    </xf>
    <xf numFmtId="0" fontId="10" fillId="10" borderId="4" xfId="0" applyFont="1" applyFill="1" applyBorder="1" applyAlignment="1">
      <alignment horizontal="left" vertical="center"/>
    </xf>
    <xf numFmtId="165" fontId="10" fillId="4" borderId="4" xfId="0" applyNumberFormat="1" applyFont="1" applyFill="1" applyBorder="1" applyAlignment="1">
      <alignment horizontal="center" vertical="center"/>
    </xf>
    <xf numFmtId="0" fontId="10" fillId="5" borderId="4" xfId="0" applyFont="1" applyFill="1" applyBorder="1" applyAlignment="1">
      <alignment vertical="center"/>
    </xf>
    <xf numFmtId="0" fontId="10" fillId="5" borderId="4" xfId="0" applyFont="1" applyFill="1" applyBorder="1" applyAlignment="1">
      <alignment horizontal="right" vertical="center"/>
    </xf>
    <xf numFmtId="2" fontId="10" fillId="5" borderId="4" xfId="0" applyNumberFormat="1" applyFont="1" applyFill="1" applyBorder="1" applyAlignment="1">
      <alignment horizontal="center" vertical="center"/>
    </xf>
    <xf numFmtId="0" fontId="9" fillId="0" borderId="4" xfId="0" applyFont="1" applyBorder="1" applyAlignment="1">
      <alignment vertical="center"/>
    </xf>
    <xf numFmtId="0" fontId="9" fillId="0" borderId="20" xfId="0" applyFont="1" applyBorder="1" applyAlignment="1">
      <alignment vertical="center"/>
    </xf>
  </cellXfs>
  <cellStyles count="1">
    <cellStyle name="Normal" xfId="0" builtinId="0"/>
  </cellStyles>
  <dxfs count="0"/>
  <tableStyles count="0" defaultTableStyle="TableStyleMedium2" defaultPivotStyle="PivotStyleLight16"/>
  <colors>
    <mruColors>
      <color rgb="FFFF7E79"/>
      <color rgb="FFEF3B2C"/>
      <color rgb="FF09306B"/>
      <color rgb="FFDFEBF7"/>
      <color rgb="FFFDE0D2"/>
      <color rgb="FF68000D"/>
      <color rgb="FF2888BD"/>
      <color rgb="FF6BAFD6"/>
      <color rgb="FFFEFAEF"/>
      <color rgb="FFCC525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Alena Goebel" id="{DD20C447-3AC3-8441-A9F6-1D83238EF0D8}" userId="S::kell6826@ox.ac.uk::0b2c63ee-b500-457a-be15-570bd3f4d029"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L13" dT="2025-06-18T14:38:12.72" personId="{DD20C447-3AC3-8441-A9F6-1D83238EF0D8}" id="{9132E5E4-A4F1-9847-83AB-1E17BABFE5EC}">
    <text xml:space="preserve">The total nitrogen amount was calculated by summing the elemental nitrogen content derived from each specified nitrogen-containing compound, specifically converting dinitrogen (interpreted as dinitrogen monoxide) into its nitrogen component, along with ammonia, ammonium, and nitrate, and directly adding the stated 'nitrogen' or 'nitrogen from sediments' values as elemental nitrogen </text>
  </threadedComment>
</ThreadedComments>
</file>

<file path=xl/worksheets/_rels/sheet6.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86"/>
  <sheetViews>
    <sheetView workbookViewId="0">
      <selection activeCell="A30" sqref="A30"/>
    </sheetView>
  </sheetViews>
  <sheetFormatPr baseColWidth="10" defaultRowHeight="13" x14ac:dyDescent="0.15"/>
  <cols>
    <col min="1" max="1" width="45" customWidth="1"/>
    <col min="2" max="2" width="111.33203125" customWidth="1"/>
    <col min="3" max="256" width="8.83203125" customWidth="1"/>
  </cols>
  <sheetData>
    <row r="1" spans="1:4" x14ac:dyDescent="0.15">
      <c r="A1" t="s">
        <v>0</v>
      </c>
      <c r="B1" t="s">
        <v>1</v>
      </c>
      <c r="C1" t="s">
        <v>2</v>
      </c>
      <c r="D1" t="s">
        <v>3</v>
      </c>
    </row>
    <row r="2" spans="1:4" x14ac:dyDescent="0.15">
      <c r="A2" t="s">
        <v>57</v>
      </c>
      <c r="B2" t="s">
        <v>58</v>
      </c>
      <c r="C2">
        <v>2018</v>
      </c>
      <c r="D2" t="str">
        <f>HYPERLINK("http://dx.doi.org/10.1016/j.scitotenv.2017.08.067","http://dx.doi.org/10.1016/j.scitotenv.2017.08.067")</f>
        <v>http://dx.doi.org/10.1016/j.scitotenv.2017.08.067</v>
      </c>
    </row>
    <row r="3" spans="1:4" x14ac:dyDescent="0.15">
      <c r="A3" t="s">
        <v>85</v>
      </c>
      <c r="B3" t="s">
        <v>86</v>
      </c>
      <c r="C3">
        <v>2021</v>
      </c>
      <c r="D3" t="str">
        <f>HYPERLINK("http://dx.doi.org/10.1016/j.jclepro.2021.126604","http://dx.doi.org/10.1016/j.jclepro.2021.126604")</f>
        <v>http://dx.doi.org/10.1016/j.jclepro.2021.126604</v>
      </c>
    </row>
    <row r="4" spans="1:4" x14ac:dyDescent="0.15">
      <c r="A4" t="s">
        <v>19</v>
      </c>
      <c r="B4" t="s">
        <v>20</v>
      </c>
      <c r="C4">
        <v>2022</v>
      </c>
      <c r="D4" t="str">
        <f>HYPERLINK("http://dx.doi.org/10.1111/jiec.13370","http://dx.doi.org/10.1111/jiec.13370")</f>
        <v>http://dx.doi.org/10.1111/jiec.13370</v>
      </c>
    </row>
    <row r="5" spans="1:4" x14ac:dyDescent="0.15">
      <c r="A5" t="s">
        <v>116</v>
      </c>
      <c r="B5" t="s">
        <v>117</v>
      </c>
      <c r="C5">
        <v>2019</v>
      </c>
      <c r="D5" t="str">
        <f>HYPERLINK("http://dx.doi.org/10.1016/j.foreco.2018.08.047","http://dx.doi.org/10.1016/j.foreco.2018.08.047")</f>
        <v>http://dx.doi.org/10.1016/j.foreco.2018.08.047</v>
      </c>
    </row>
    <row r="6" spans="1:4" x14ac:dyDescent="0.15">
      <c r="A6" t="s">
        <v>49</v>
      </c>
      <c r="B6" t="s">
        <v>50</v>
      </c>
      <c r="C6">
        <v>2015</v>
      </c>
      <c r="D6" t="str">
        <f>HYPERLINK("http://dx.doi.org/10.1016/j.aquaculture.2014.09.019","http://dx.doi.org/10.1016/j.aquaculture.2014.09.019")</f>
        <v>http://dx.doi.org/10.1016/j.aquaculture.2014.09.019</v>
      </c>
    </row>
    <row r="7" spans="1:4" x14ac:dyDescent="0.15">
      <c r="A7" t="s">
        <v>93</v>
      </c>
      <c r="B7" t="s">
        <v>94</v>
      </c>
      <c r="C7">
        <v>2018</v>
      </c>
      <c r="D7" t="str">
        <f>HYPERLINK("http://dx.doi.org/10.1590/rbz4720160353","http://dx.doi.org/10.1590/rbz4720160353")</f>
        <v>http://dx.doi.org/10.1590/rbz4720160353</v>
      </c>
    </row>
    <row r="8" spans="1:4" x14ac:dyDescent="0.15">
      <c r="A8" t="s">
        <v>75</v>
      </c>
      <c r="B8" t="s">
        <v>76</v>
      </c>
      <c r="C8">
        <v>2023</v>
      </c>
      <c r="D8" t="str">
        <f>HYPERLINK("http://dx.doi.org/10.1080/23308249.2023.2258226","http://dx.doi.org/10.1080/23308249.2023.2258226")</f>
        <v>http://dx.doi.org/10.1080/23308249.2023.2258226</v>
      </c>
    </row>
    <row r="9" spans="1:4" x14ac:dyDescent="0.15">
      <c r="A9" t="s">
        <v>171</v>
      </c>
      <c r="B9" t="s">
        <v>172</v>
      </c>
      <c r="C9">
        <v>2015</v>
      </c>
      <c r="D9" t="s">
        <v>5</v>
      </c>
    </row>
    <row r="10" spans="1:4" x14ac:dyDescent="0.15">
      <c r="A10" t="s">
        <v>79</v>
      </c>
      <c r="B10" t="s">
        <v>80</v>
      </c>
      <c r="C10">
        <v>2017</v>
      </c>
      <c r="D10" t="str">
        <f>HYPERLINK("http://dx.doi.org/10.1111/jwas.12394","http://dx.doi.org/10.1111/jwas.12394")</f>
        <v>http://dx.doi.org/10.1111/jwas.12394</v>
      </c>
    </row>
    <row r="11" spans="1:4" x14ac:dyDescent="0.15">
      <c r="A11" t="s">
        <v>23</v>
      </c>
      <c r="B11" t="s">
        <v>24</v>
      </c>
      <c r="C11">
        <v>2011</v>
      </c>
      <c r="D11" t="str">
        <f>HYPERLINK("http://dx.doi.org/10.1021/es104058z","http://dx.doi.org/10.1021/es104058z")</f>
        <v>http://dx.doi.org/10.1021/es104058z</v>
      </c>
    </row>
    <row r="12" spans="1:4" x14ac:dyDescent="0.15">
      <c r="A12" t="s">
        <v>45</v>
      </c>
      <c r="B12" t="s">
        <v>46</v>
      </c>
      <c r="C12">
        <v>2017</v>
      </c>
      <c r="D12" t="str">
        <f>HYPERLINK("http://dx.doi.org/10.1016/j.jclepro.2017.09.109","http://dx.doi.org/10.1016/j.jclepro.2017.09.109")</f>
        <v>http://dx.doi.org/10.1016/j.jclepro.2017.09.109</v>
      </c>
    </row>
    <row r="13" spans="1:4" x14ac:dyDescent="0.15">
      <c r="A13" t="s">
        <v>87</v>
      </c>
      <c r="B13" t="s">
        <v>88</v>
      </c>
      <c r="C13">
        <v>2021</v>
      </c>
      <c r="D13" t="str">
        <f>HYPERLINK("http://dx.doi.org/10.1016/j.coesh.2021.100276","http://dx.doi.org/10.1016/j.coesh.2021.100276")</f>
        <v>http://dx.doi.org/10.1016/j.coesh.2021.100276</v>
      </c>
    </row>
    <row r="14" spans="1:4" x14ac:dyDescent="0.15">
      <c r="A14" t="s">
        <v>9</v>
      </c>
      <c r="B14" t="s">
        <v>10</v>
      </c>
      <c r="C14">
        <v>2021</v>
      </c>
      <c r="D14" t="str">
        <f>HYPERLINK("http://dx.doi.org/10.1016/j.aquaculture.2021.737145","http://dx.doi.org/10.1016/j.aquaculture.2021.737145")</f>
        <v>http://dx.doi.org/10.1016/j.aquaculture.2021.737145</v>
      </c>
    </row>
    <row r="15" spans="1:4" x14ac:dyDescent="0.15">
      <c r="A15" t="s">
        <v>37</v>
      </c>
      <c r="B15" t="s">
        <v>38</v>
      </c>
      <c r="C15">
        <v>2020</v>
      </c>
      <c r="D15" t="str">
        <f>HYPERLINK("http://dx.doi.org/10.1111/raq.12373","http://dx.doi.org/10.1111/raq.12373")</f>
        <v>http://dx.doi.org/10.1111/raq.12373</v>
      </c>
    </row>
    <row r="16" spans="1:4" x14ac:dyDescent="0.15">
      <c r="A16" t="s">
        <v>41</v>
      </c>
      <c r="B16" t="s">
        <v>42</v>
      </c>
      <c r="C16">
        <v>2021</v>
      </c>
      <c r="D16" t="str">
        <f>HYPERLINK("http://dx.doi.org/10.1016/j.ocecoaman.2021.105595","http://dx.doi.org/10.1016/j.ocecoaman.2021.105595")</f>
        <v>http://dx.doi.org/10.1016/j.ocecoaman.2021.105595</v>
      </c>
    </row>
    <row r="17" spans="1:4" x14ac:dyDescent="0.15">
      <c r="A17" t="s">
        <v>77</v>
      </c>
      <c r="B17" t="s">
        <v>78</v>
      </c>
      <c r="C17">
        <v>2009</v>
      </c>
      <c r="D17" t="str">
        <f>HYPERLINK("http://dx.doi.org/10.1525/bio.2009.59.1.7","http://dx.doi.org/10.1525/bio.2009.59.1.7")</f>
        <v>http://dx.doi.org/10.1525/bio.2009.59.1.7</v>
      </c>
    </row>
    <row r="18" spans="1:4" x14ac:dyDescent="0.15">
      <c r="A18" t="s">
        <v>47</v>
      </c>
      <c r="B18" t="s">
        <v>48</v>
      </c>
      <c r="C18">
        <v>2021</v>
      </c>
      <c r="D18" t="str">
        <f>HYPERLINK("http://dx.doi.org/10.3354/aei00405","http://dx.doi.org/10.3354/aei00405")</f>
        <v>http://dx.doi.org/10.3354/aei00405</v>
      </c>
    </row>
    <row r="19" spans="1:4" x14ac:dyDescent="0.15">
      <c r="A19" t="s">
        <v>15</v>
      </c>
      <c r="B19" t="s">
        <v>16</v>
      </c>
      <c r="C19">
        <v>2015</v>
      </c>
      <c r="D19" t="str">
        <f>HYPERLINK("http://dx.doi.org/10.1016/j.jclepro.2014.10.063","http://dx.doi.org/10.1016/j.jclepro.2014.10.063")</f>
        <v>http://dx.doi.org/10.1016/j.jclepro.2014.10.063</v>
      </c>
    </row>
    <row r="20" spans="1:4" x14ac:dyDescent="0.15">
      <c r="A20" t="s">
        <v>112</v>
      </c>
      <c r="B20" t="s">
        <v>113</v>
      </c>
      <c r="C20">
        <v>2015</v>
      </c>
      <c r="D20" t="str">
        <f>HYPERLINK("http://dx.doi.org/10.1016/j.envsci.2015.06.007","http://dx.doi.org/10.1016/j.envsci.2015.06.007")</f>
        <v>http://dx.doi.org/10.1016/j.envsci.2015.06.007</v>
      </c>
    </row>
    <row r="21" spans="1:4" x14ac:dyDescent="0.15">
      <c r="A21" t="s">
        <v>65</v>
      </c>
      <c r="B21" t="s">
        <v>66</v>
      </c>
      <c r="C21">
        <v>2017</v>
      </c>
      <c r="D21" t="str">
        <f>HYPERLINK("http://dx.doi.org/10.1007/s11367-017-1274-2","http://dx.doi.org/10.1007/s11367-017-1274-2")</f>
        <v>http://dx.doi.org/10.1007/s11367-017-1274-2</v>
      </c>
    </row>
    <row r="22" spans="1:4" x14ac:dyDescent="0.15">
      <c r="A22" t="s">
        <v>59</v>
      </c>
      <c r="B22" t="s">
        <v>60</v>
      </c>
      <c r="C22">
        <v>2023</v>
      </c>
      <c r="D22" t="str">
        <f>HYPERLINK("http://dx.doi.org/10.1016/j.scitotenv.2022.159737","http://dx.doi.org/10.1016/j.scitotenv.2022.159737")</f>
        <v>http://dx.doi.org/10.1016/j.scitotenv.2022.159737</v>
      </c>
    </row>
    <row r="23" spans="1:4" x14ac:dyDescent="0.15">
      <c r="A23" t="s">
        <v>169</v>
      </c>
      <c r="B23" t="s">
        <v>170</v>
      </c>
      <c r="C23">
        <v>1999</v>
      </c>
      <c r="D23" t="str">
        <f>HYPERLINK("http://dx.doi.org/10.3989/scimar.1999.63n127","http://dx.doi.org/10.3989/scimar.1999.63n127")</f>
        <v>http://dx.doi.org/10.3989/scimar.1999.63n127</v>
      </c>
    </row>
    <row r="24" spans="1:4" x14ac:dyDescent="0.15">
      <c r="A24" t="s">
        <v>148</v>
      </c>
      <c r="B24" t="s">
        <v>149</v>
      </c>
      <c r="C24">
        <v>2019</v>
      </c>
      <c r="D24" t="str">
        <f>HYPERLINK("http://dx.doi.org/10.1016/j.jclepro.2019.04.229","http://dx.doi.org/10.1016/j.jclepro.2019.04.229")</f>
        <v>http://dx.doi.org/10.1016/j.jclepro.2019.04.229</v>
      </c>
    </row>
    <row r="25" spans="1:4" x14ac:dyDescent="0.15">
      <c r="A25" t="s">
        <v>11</v>
      </c>
      <c r="B25" t="s">
        <v>12</v>
      </c>
      <c r="C25">
        <v>2022</v>
      </c>
      <c r="D25" t="str">
        <f>HYPERLINK("http://dx.doi.org/10.3390/su142214776","http://dx.doi.org/10.3390/su142214776")</f>
        <v>http://dx.doi.org/10.3390/su142214776</v>
      </c>
    </row>
    <row r="26" spans="1:4" x14ac:dyDescent="0.15">
      <c r="A26" t="s">
        <v>97</v>
      </c>
      <c r="B26" t="s">
        <v>98</v>
      </c>
      <c r="C26">
        <v>2020</v>
      </c>
      <c r="D26" t="str">
        <f>HYPERLINK("http://dx.doi.org/10.1111/raq.12327","http://dx.doi.org/10.1111/raq.12327")</f>
        <v>http://dx.doi.org/10.1111/raq.12327</v>
      </c>
    </row>
    <row r="27" spans="1:4" x14ac:dyDescent="0.15">
      <c r="A27" t="s">
        <v>69</v>
      </c>
      <c r="B27" t="s">
        <v>70</v>
      </c>
      <c r="C27">
        <v>2019</v>
      </c>
      <c r="D27" t="str">
        <f>HYPERLINK("http://dx.doi.org/10.1088/1748-9326/ab4b79","http://dx.doi.org/10.1088/1748-9326/ab4b79")</f>
        <v>http://dx.doi.org/10.1088/1748-9326/ab4b79</v>
      </c>
    </row>
    <row r="28" spans="1:4" x14ac:dyDescent="0.15">
      <c r="A28" t="s">
        <v>43</v>
      </c>
      <c r="B28" t="s">
        <v>44</v>
      </c>
      <c r="C28">
        <v>2015</v>
      </c>
      <c r="D28" t="str">
        <f>HYPERLINK("http://dx.doi.org/10.1021/acs.est.5b04634","http://dx.doi.org/10.1021/acs.est.5b04634")</f>
        <v>http://dx.doi.org/10.1021/acs.est.5b04634</v>
      </c>
    </row>
    <row r="29" spans="1:4" x14ac:dyDescent="0.15">
      <c r="A29" t="s">
        <v>25</v>
      </c>
      <c r="B29" t="s">
        <v>26</v>
      </c>
      <c r="C29">
        <v>2018</v>
      </c>
      <c r="D29" t="str">
        <f>HYPERLINK("http://dx.doi.org/10.1007/s11367-017-1332-9","http://dx.doi.org/10.1007/s11367-017-1332-9")</f>
        <v>http://dx.doi.org/10.1007/s11367-017-1332-9</v>
      </c>
    </row>
    <row r="30" spans="1:4" x14ac:dyDescent="0.15">
      <c r="A30" t="s">
        <v>4</v>
      </c>
      <c r="B30" t="s">
        <v>6</v>
      </c>
      <c r="C30">
        <v>2015</v>
      </c>
      <c r="D30" t="str">
        <f>HYPERLINK("http://dx.doi.org/10.1016/j.aquaculture.2014.11.001","http://dx.doi.org/10.1016/j.aquaculture.2014.11.001")</f>
        <v>http://dx.doi.org/10.1016/j.aquaculture.2014.11.001</v>
      </c>
    </row>
    <row r="31" spans="1:4" x14ac:dyDescent="0.15">
      <c r="A31" t="s">
        <v>101</v>
      </c>
      <c r="B31" t="s">
        <v>102</v>
      </c>
      <c r="C31">
        <v>2013</v>
      </c>
      <c r="D31" t="str">
        <f>HYPERLINK("http://dx.doi.org/10.1007/s13280-013-0409-3","http://dx.doi.org/10.1007/s13280-013-0409-3")</f>
        <v>http://dx.doi.org/10.1007/s13280-013-0409-3</v>
      </c>
    </row>
    <row r="32" spans="1:4" x14ac:dyDescent="0.15">
      <c r="A32" t="s">
        <v>167</v>
      </c>
      <c r="B32" t="s">
        <v>168</v>
      </c>
      <c r="C32">
        <v>2009</v>
      </c>
      <c r="D32" t="str">
        <f>HYPERLINK("http://dx.doi.org/10.3147/jsfp.44.47","http://dx.doi.org/10.3147/jsfp.44.47")</f>
        <v>http://dx.doi.org/10.3147/jsfp.44.47</v>
      </c>
    </row>
    <row r="33" spans="1:4" x14ac:dyDescent="0.15">
      <c r="A33" t="s">
        <v>108</v>
      </c>
      <c r="B33" t="s">
        <v>109</v>
      </c>
      <c r="C33">
        <v>2022</v>
      </c>
      <c r="D33" t="str">
        <f>HYPERLINK("http://dx.doi.org/10.3390/biology11030368","http://dx.doi.org/10.3390/biology11030368")</f>
        <v>http://dx.doi.org/10.3390/biology11030368</v>
      </c>
    </row>
    <row r="34" spans="1:4" x14ac:dyDescent="0.15">
      <c r="A34" t="s">
        <v>163</v>
      </c>
      <c r="B34" t="s">
        <v>164</v>
      </c>
      <c r="C34">
        <v>2016</v>
      </c>
      <c r="D34" t="str">
        <f>HYPERLINK("http://dx.doi.org/10.1016/j.envpol.2016.02.015","http://dx.doi.org/10.1016/j.envpol.2016.02.015")</f>
        <v>http://dx.doi.org/10.1016/j.envpol.2016.02.015</v>
      </c>
    </row>
    <row r="35" spans="1:4" x14ac:dyDescent="0.15">
      <c r="A35" t="s">
        <v>27</v>
      </c>
      <c r="B35" t="s">
        <v>28</v>
      </c>
      <c r="C35">
        <v>2010</v>
      </c>
      <c r="D35" t="str">
        <f>HYPERLINK("http://dx.doi.org/10.1016/j.envsci.2010.03.005","http://dx.doi.org/10.1016/j.envsci.2010.03.005")</f>
        <v>http://dx.doi.org/10.1016/j.envsci.2010.03.005</v>
      </c>
    </row>
    <row r="36" spans="1:4" x14ac:dyDescent="0.15">
      <c r="A36" t="s">
        <v>144</v>
      </c>
      <c r="B36" t="s">
        <v>145</v>
      </c>
      <c r="C36">
        <v>2022</v>
      </c>
      <c r="D36" t="str">
        <f>HYPERLINK("http://dx.doi.org/10.1016/j.foodchem.2022.132975","http://dx.doi.org/10.1016/j.foodchem.2022.132975")</f>
        <v>http://dx.doi.org/10.1016/j.foodchem.2022.132975</v>
      </c>
    </row>
    <row r="37" spans="1:4" x14ac:dyDescent="0.15">
      <c r="A37" t="s">
        <v>103</v>
      </c>
      <c r="B37" t="s">
        <v>104</v>
      </c>
      <c r="C37">
        <v>2018</v>
      </c>
      <c r="D37" t="str">
        <f>HYPERLINK("http://dx.doi.org/10.1016/j.aquaculture.2017.12.033","http://dx.doi.org/10.1016/j.aquaculture.2017.12.033")</f>
        <v>http://dx.doi.org/10.1016/j.aquaculture.2017.12.033</v>
      </c>
    </row>
    <row r="38" spans="1:4" x14ac:dyDescent="0.15">
      <c r="A38" t="s">
        <v>120</v>
      </c>
      <c r="B38" t="s">
        <v>121</v>
      </c>
      <c r="C38">
        <v>2022</v>
      </c>
      <c r="D38" t="str">
        <f>HYPERLINK("http://dx.doi.org/10.1016/j.scitotenv.2022.158523","http://dx.doi.org/10.1016/j.scitotenv.2022.158523")</f>
        <v>http://dx.doi.org/10.1016/j.scitotenv.2022.158523</v>
      </c>
    </row>
    <row r="39" spans="1:4" x14ac:dyDescent="0.15">
      <c r="A39" t="s">
        <v>159</v>
      </c>
      <c r="B39" t="s">
        <v>160</v>
      </c>
      <c r="C39">
        <v>2017</v>
      </c>
      <c r="D39" t="str">
        <f>HYPERLINK("http://dx.doi.org/10.1016/j.jclepro.2017.05.016","http://dx.doi.org/10.1016/j.jclepro.2017.05.016")</f>
        <v>http://dx.doi.org/10.1016/j.jclepro.2017.05.016</v>
      </c>
    </row>
    <row r="40" spans="1:4" x14ac:dyDescent="0.15">
      <c r="A40" t="s">
        <v>110</v>
      </c>
      <c r="B40" t="s">
        <v>111</v>
      </c>
      <c r="C40">
        <v>2021</v>
      </c>
      <c r="D40" t="str">
        <f>HYPERLINK("http://dx.doi.org/10.1016/j.jclepro.2021.126718","http://dx.doi.org/10.1016/j.jclepro.2021.126718")</f>
        <v>http://dx.doi.org/10.1016/j.jclepro.2021.126718</v>
      </c>
    </row>
    <row r="41" spans="1:4" x14ac:dyDescent="0.15">
      <c r="A41" t="s">
        <v>73</v>
      </c>
      <c r="B41" t="s">
        <v>74</v>
      </c>
      <c r="C41">
        <v>2016</v>
      </c>
      <c r="D41" t="str">
        <f>HYPERLINK("http://dx.doi.org/10.1111/are.12720","http://dx.doi.org/10.1111/are.12720")</f>
        <v>http://dx.doi.org/10.1111/are.12720</v>
      </c>
    </row>
    <row r="42" spans="1:4" x14ac:dyDescent="0.15">
      <c r="A42" t="s">
        <v>73</v>
      </c>
      <c r="B42" t="s">
        <v>107</v>
      </c>
      <c r="C42">
        <v>2016</v>
      </c>
      <c r="D42" t="str">
        <f>HYPERLINK("http://dx.doi.org/10.1111/are.12691","http://dx.doi.org/10.1111/are.12691")</f>
        <v>http://dx.doi.org/10.1111/are.12691</v>
      </c>
    </row>
    <row r="43" spans="1:4" x14ac:dyDescent="0.15">
      <c r="A43" t="s">
        <v>114</v>
      </c>
      <c r="B43" t="s">
        <v>115</v>
      </c>
      <c r="C43">
        <v>2023</v>
      </c>
      <c r="D43" t="str">
        <f>HYPERLINK("http://dx.doi.org/10.1002/aff2.108","http://dx.doi.org/10.1002/aff2.108")</f>
        <v>http://dx.doi.org/10.1002/aff2.108</v>
      </c>
    </row>
    <row r="44" spans="1:4" x14ac:dyDescent="0.15">
      <c r="A44" t="s">
        <v>31</v>
      </c>
      <c r="B44" t="s">
        <v>32</v>
      </c>
      <c r="C44">
        <v>2017</v>
      </c>
      <c r="D44" t="str">
        <f>HYPERLINK("http://dx.doi.org/10.1016/j.jclepro.2017.04.059","http://dx.doi.org/10.1016/j.jclepro.2017.04.059")</f>
        <v>http://dx.doi.org/10.1016/j.jclepro.2017.04.059</v>
      </c>
    </row>
    <row r="45" spans="1:4" x14ac:dyDescent="0.15">
      <c r="A45" t="s">
        <v>150</v>
      </c>
      <c r="B45" t="s">
        <v>151</v>
      </c>
      <c r="C45">
        <v>2019</v>
      </c>
      <c r="D45" t="str">
        <f>HYPERLINK("http://dx.doi.org/10.1016/j.jclepro.2019.117804","http://dx.doi.org/10.1016/j.jclepro.2019.117804")</f>
        <v>http://dx.doi.org/10.1016/j.jclepro.2019.117804</v>
      </c>
    </row>
    <row r="46" spans="1:4" x14ac:dyDescent="0.15">
      <c r="A46" t="s">
        <v>124</v>
      </c>
      <c r="B46" t="s">
        <v>125</v>
      </c>
      <c r="C46">
        <v>2022</v>
      </c>
      <c r="D46" t="str">
        <f>HYPERLINK("http://dx.doi.org/10.3390/polym14010025","http://dx.doi.org/10.3390/polym14010025")</f>
        <v>http://dx.doi.org/10.3390/polym14010025</v>
      </c>
    </row>
    <row r="47" spans="1:4" x14ac:dyDescent="0.15">
      <c r="A47" t="s">
        <v>21</v>
      </c>
      <c r="B47" t="s">
        <v>22</v>
      </c>
      <c r="C47">
        <v>2006</v>
      </c>
      <c r="D47" t="str">
        <f>HYPERLINK("http://dx.doi.org/10.1065/lca2006.01.238","http://dx.doi.org/10.1065/lca2006.01.238")</f>
        <v>http://dx.doi.org/10.1065/lca2006.01.238</v>
      </c>
    </row>
    <row r="48" spans="1:4" x14ac:dyDescent="0.15">
      <c r="A48" t="s">
        <v>29</v>
      </c>
      <c r="B48" t="s">
        <v>30</v>
      </c>
      <c r="C48">
        <v>2018</v>
      </c>
      <c r="D48" t="str">
        <f>HYPERLINK("http://dx.doi.org/10.1007/s11367-017-1290-2","http://dx.doi.org/10.1007/s11367-017-1290-2")</f>
        <v>http://dx.doi.org/10.1007/s11367-017-1290-2</v>
      </c>
    </row>
    <row r="49" spans="1:4" x14ac:dyDescent="0.15">
      <c r="A49" t="s">
        <v>138</v>
      </c>
      <c r="B49" t="s">
        <v>139</v>
      </c>
      <c r="C49">
        <v>2010</v>
      </c>
      <c r="D49" t="str">
        <f>HYPERLINK("http://dx.doi.org/10.1007/s10499-009-9297-8","http://dx.doi.org/10.1007/s10499-009-9297-8")</f>
        <v>http://dx.doi.org/10.1007/s10499-009-9297-8</v>
      </c>
    </row>
    <row r="50" spans="1:4" x14ac:dyDescent="0.15">
      <c r="A50" t="s">
        <v>138</v>
      </c>
      <c r="B50" t="s">
        <v>154</v>
      </c>
      <c r="C50">
        <v>1999</v>
      </c>
      <c r="D50" t="str">
        <f>HYPERLINK("http://dx.doi.org/10.1016/S0144-8609(99)00023-0","http://dx.doi.org/10.1016/S0144-8609(99)00023-0")</f>
        <v>http://dx.doi.org/10.1016/S0144-8609(99)00023-0</v>
      </c>
    </row>
    <row r="51" spans="1:4" x14ac:dyDescent="0.15">
      <c r="A51" t="s">
        <v>161</v>
      </c>
      <c r="B51" t="s">
        <v>162</v>
      </c>
      <c r="C51">
        <v>1998</v>
      </c>
      <c r="D51" t="str">
        <f>HYPERLINK("http://dx.doi.org/10.1016/S0144-8609(97)00006-X","http://dx.doi.org/10.1016/S0144-8609(97)00006-X")</f>
        <v>http://dx.doi.org/10.1016/S0144-8609(97)00006-X</v>
      </c>
    </row>
    <row r="52" spans="1:4" x14ac:dyDescent="0.15">
      <c r="A52" t="s">
        <v>136</v>
      </c>
      <c r="B52" t="s">
        <v>137</v>
      </c>
      <c r="C52">
        <v>2004</v>
      </c>
      <c r="D52" t="str">
        <f>HYPERLINK("http://dx.doi.org/10.1007/s10499-004-1024-x","http://dx.doi.org/10.1007/s10499-004-1024-x")</f>
        <v>http://dx.doi.org/10.1007/s10499-004-1024-x</v>
      </c>
    </row>
    <row r="53" spans="1:4" x14ac:dyDescent="0.15">
      <c r="A53" t="s">
        <v>126</v>
      </c>
      <c r="B53" t="s">
        <v>127</v>
      </c>
      <c r="C53">
        <v>2002</v>
      </c>
      <c r="D53" t="str">
        <f>HYPERLINK("http://dx.doi.org/10.1023/A:1021302918982","http://dx.doi.org/10.1023/A:1021302918982")</f>
        <v>http://dx.doi.org/10.1023/A:1021302918982</v>
      </c>
    </row>
    <row r="54" spans="1:4" x14ac:dyDescent="0.15">
      <c r="A54" t="s">
        <v>142</v>
      </c>
      <c r="B54" t="s">
        <v>143</v>
      </c>
      <c r="C54">
        <v>2021</v>
      </c>
      <c r="D54" t="str">
        <f>HYPERLINK("http://dx.doi.org/10.1016/j.jclepro.2020.125335","http://dx.doi.org/10.1016/j.jclepro.2020.125335")</f>
        <v>http://dx.doi.org/10.1016/j.jclepro.2020.125335</v>
      </c>
    </row>
    <row r="55" spans="1:4" x14ac:dyDescent="0.15">
      <c r="A55" t="s">
        <v>63</v>
      </c>
      <c r="B55" t="s">
        <v>64</v>
      </c>
      <c r="C55">
        <v>2019</v>
      </c>
      <c r="D55" t="str">
        <f>HYPERLINK("http://dx.doi.org/10.3390/su11195277","http://dx.doi.org/10.3390/su11195277")</f>
        <v>http://dx.doi.org/10.3390/su11195277</v>
      </c>
    </row>
    <row r="56" spans="1:4" x14ac:dyDescent="0.15">
      <c r="A56" t="s">
        <v>83</v>
      </c>
      <c r="B56" t="s">
        <v>84</v>
      </c>
      <c r="C56">
        <v>2021</v>
      </c>
      <c r="D56" t="str">
        <f>HYPERLINK("http://dx.doi.org/10.3390/w13030304","http://dx.doi.org/10.3390/w13030304")</f>
        <v>http://dx.doi.org/10.3390/w13030304</v>
      </c>
    </row>
    <row r="57" spans="1:4" x14ac:dyDescent="0.15">
      <c r="A57" t="s">
        <v>130</v>
      </c>
      <c r="B57" t="s">
        <v>131</v>
      </c>
      <c r="C57">
        <v>2016</v>
      </c>
      <c r="D57" t="str">
        <f>HYPERLINK("http://dx.doi.org/10.1016/j.ecolind.2015.08.039","http://dx.doi.org/10.1016/j.ecolind.2015.08.039")</f>
        <v>http://dx.doi.org/10.1016/j.ecolind.2015.08.039</v>
      </c>
    </row>
    <row r="58" spans="1:4" x14ac:dyDescent="0.15">
      <c r="A58" t="s">
        <v>95</v>
      </c>
      <c r="B58" t="s">
        <v>96</v>
      </c>
      <c r="C58">
        <v>2022</v>
      </c>
      <c r="D58" t="str">
        <f>HYPERLINK("http://dx.doi.org/10.1016/j.resconrec.2022.106158","http://dx.doi.org/10.1016/j.resconrec.2022.106158")</f>
        <v>http://dx.doi.org/10.1016/j.resconrec.2022.106158</v>
      </c>
    </row>
    <row r="59" spans="1:4" x14ac:dyDescent="0.15">
      <c r="A59" t="s">
        <v>118</v>
      </c>
      <c r="B59" t="s">
        <v>119</v>
      </c>
      <c r="C59">
        <v>2021</v>
      </c>
      <c r="D59" t="str">
        <f>HYPERLINK("http://dx.doi.org/10.1021/acssuschemeng.1c05035","http://dx.doi.org/10.1021/acssuschemeng.1c05035")</f>
        <v>http://dx.doi.org/10.1021/acssuschemeng.1c05035</v>
      </c>
    </row>
    <row r="60" spans="1:4" x14ac:dyDescent="0.15">
      <c r="A60" t="s">
        <v>140</v>
      </c>
      <c r="B60" t="s">
        <v>141</v>
      </c>
      <c r="C60">
        <v>2018</v>
      </c>
      <c r="D60" t="str">
        <f>HYPERLINK("http://dx.doi.org/10.1021/acs.est.7b05468","http://dx.doi.org/10.1021/acs.est.7b05468")</f>
        <v>http://dx.doi.org/10.1021/acs.est.7b05468</v>
      </c>
    </row>
    <row r="61" spans="1:4" x14ac:dyDescent="0.15">
      <c r="A61" t="s">
        <v>89</v>
      </c>
      <c r="B61" t="s">
        <v>90</v>
      </c>
      <c r="C61">
        <v>2008</v>
      </c>
      <c r="D61" t="str">
        <f>HYPERLINK("http://dx.doi.org/10.1007/s00267-008-9148-9","http://dx.doi.org/10.1007/s00267-008-9148-9")</f>
        <v>http://dx.doi.org/10.1007/s00267-008-9148-9</v>
      </c>
    </row>
    <row r="62" spans="1:4" x14ac:dyDescent="0.15">
      <c r="A62" t="s">
        <v>35</v>
      </c>
      <c r="B62" t="s">
        <v>36</v>
      </c>
      <c r="C62">
        <v>2007</v>
      </c>
      <c r="D62" t="str">
        <f>HYPERLINK("http://dx.doi.org/10.1065/lca2006.09.275","http://dx.doi.org/10.1065/lca2006.09.275")</f>
        <v>http://dx.doi.org/10.1065/lca2006.09.275</v>
      </c>
    </row>
    <row r="63" spans="1:4" x14ac:dyDescent="0.15">
      <c r="A63" t="s">
        <v>53</v>
      </c>
      <c r="B63" t="s">
        <v>54</v>
      </c>
      <c r="C63">
        <v>2022</v>
      </c>
      <c r="D63" t="str">
        <f>HYPERLINK("http://dx.doi.org/10.1111/are.15685","http://dx.doi.org/10.1111/are.15685")</f>
        <v>http://dx.doi.org/10.1111/are.15685</v>
      </c>
    </row>
    <row r="64" spans="1:4" x14ac:dyDescent="0.15">
      <c r="A64" t="s">
        <v>128</v>
      </c>
      <c r="B64" t="s">
        <v>129</v>
      </c>
      <c r="C64">
        <v>2022</v>
      </c>
      <c r="D64" t="str">
        <f>HYPERLINK("http://dx.doi.org/10.1111/raq.12617","http://dx.doi.org/10.1111/raq.12617")</f>
        <v>http://dx.doi.org/10.1111/raq.12617</v>
      </c>
    </row>
    <row r="65" spans="1:4" x14ac:dyDescent="0.15">
      <c r="A65" t="s">
        <v>81</v>
      </c>
      <c r="B65" t="s">
        <v>82</v>
      </c>
      <c r="C65">
        <v>2022</v>
      </c>
      <c r="D65" t="str">
        <f>HYPERLINK("http://dx.doi.org/10.1007/s11367-022-02035-y","http://dx.doi.org/10.1007/s11367-022-02035-y")</f>
        <v>http://dx.doi.org/10.1007/s11367-022-02035-y</v>
      </c>
    </row>
    <row r="66" spans="1:4" x14ac:dyDescent="0.15">
      <c r="A66" t="s">
        <v>146</v>
      </c>
      <c r="B66" t="s">
        <v>147</v>
      </c>
      <c r="C66">
        <v>2023</v>
      </c>
      <c r="D66" t="str">
        <f>HYPERLINK("http://dx.doi.org/10.1002/fft2.326","http://dx.doi.org/10.1002/fft2.326")</f>
        <v>http://dx.doi.org/10.1002/fft2.326</v>
      </c>
    </row>
    <row r="67" spans="1:4" x14ac:dyDescent="0.15">
      <c r="A67" t="s">
        <v>33</v>
      </c>
      <c r="B67" t="s">
        <v>34</v>
      </c>
      <c r="C67">
        <v>2024</v>
      </c>
      <c r="D67" t="str">
        <f>HYPERLINK("http://dx.doi.org/10.1016/j.envres.2023.117348","http://dx.doi.org/10.1016/j.envres.2023.117348")</f>
        <v>http://dx.doi.org/10.1016/j.envres.2023.117348</v>
      </c>
    </row>
    <row r="68" spans="1:4" x14ac:dyDescent="0.15">
      <c r="A68" t="s">
        <v>91</v>
      </c>
      <c r="B68" t="s">
        <v>92</v>
      </c>
      <c r="C68">
        <v>2021</v>
      </c>
      <c r="D68" t="str">
        <f>HYPERLINK("http://dx.doi.org/10.1021/acsomega.1c01672","http://dx.doi.org/10.1021/acsomega.1c01672")</f>
        <v>http://dx.doi.org/10.1021/acsomega.1c01672</v>
      </c>
    </row>
    <row r="69" spans="1:4" x14ac:dyDescent="0.15">
      <c r="A69" t="s">
        <v>99</v>
      </c>
      <c r="B69" t="s">
        <v>100</v>
      </c>
      <c r="C69">
        <v>2023</v>
      </c>
      <c r="D69" t="str">
        <f>HYPERLINK("http://dx.doi.org/10.3920/JIFF2022.0117","http://dx.doi.org/10.3920/JIFF2022.0117")</f>
        <v>http://dx.doi.org/10.3920/JIFF2022.0117</v>
      </c>
    </row>
    <row r="70" spans="1:4" x14ac:dyDescent="0.15">
      <c r="A70" t="s">
        <v>17</v>
      </c>
      <c r="B70" t="s">
        <v>18</v>
      </c>
      <c r="C70">
        <v>2013</v>
      </c>
      <c r="D70" t="str">
        <f>HYPERLINK("http://dx.doi.org/10.1016/j.aquaeng.2012.12.002","http://dx.doi.org/10.1016/j.aquaeng.2012.12.002")</f>
        <v>http://dx.doi.org/10.1016/j.aquaeng.2012.12.002</v>
      </c>
    </row>
    <row r="71" spans="1:4" x14ac:dyDescent="0.15">
      <c r="A71" t="s">
        <v>51</v>
      </c>
      <c r="B71" t="s">
        <v>52</v>
      </c>
      <c r="C71">
        <v>2012</v>
      </c>
      <c r="D71" t="str">
        <f>HYPERLINK("http://dx.doi.org/10.1016/j.jclepro.2012.03.037","http://dx.doi.org/10.1016/j.jclepro.2012.03.037")</f>
        <v>http://dx.doi.org/10.1016/j.jclepro.2012.03.037</v>
      </c>
    </row>
    <row r="72" spans="1:4" x14ac:dyDescent="0.15">
      <c r="A72" t="s">
        <v>13</v>
      </c>
      <c r="B72" t="s">
        <v>14</v>
      </c>
      <c r="C72">
        <v>2015</v>
      </c>
      <c r="D72" t="str">
        <f>HYPERLINK("http://dx.doi.org/10.1016/j.aquaculture.2015.03.006","http://dx.doi.org/10.1016/j.aquaculture.2015.03.006")</f>
        <v>http://dx.doi.org/10.1016/j.aquaculture.2015.03.006</v>
      </c>
    </row>
    <row r="73" spans="1:4" x14ac:dyDescent="0.15">
      <c r="A73" t="s">
        <v>122</v>
      </c>
      <c r="B73" t="s">
        <v>123</v>
      </c>
      <c r="C73">
        <v>2023</v>
      </c>
      <c r="D73" t="str">
        <f>HYPERLINK("http://dx.doi.org/10.3390/microorganisms11020439","http://dx.doi.org/10.3390/microorganisms11020439")</f>
        <v>http://dx.doi.org/10.3390/microorganisms11020439</v>
      </c>
    </row>
    <row r="74" spans="1:4" x14ac:dyDescent="0.15">
      <c r="A74" t="s">
        <v>152</v>
      </c>
      <c r="B74" t="s">
        <v>153</v>
      </c>
      <c r="C74">
        <v>2018</v>
      </c>
      <c r="D74" t="str">
        <f>HYPERLINK("http://dx.doi.org/10.1007/s11367-017-1420-x","http://dx.doi.org/10.1007/s11367-017-1420-x")</f>
        <v>http://dx.doi.org/10.1007/s11367-017-1420-x</v>
      </c>
    </row>
    <row r="75" spans="1:4" x14ac:dyDescent="0.15">
      <c r="A75" t="s">
        <v>67</v>
      </c>
      <c r="B75" t="s">
        <v>68</v>
      </c>
      <c r="C75">
        <v>2015</v>
      </c>
      <c r="D75" t="str">
        <f>HYPERLINK("http://dx.doi.org/10.1016/j.biortech.2015.04.088","http://dx.doi.org/10.1016/j.biortech.2015.04.088")</f>
        <v>http://dx.doi.org/10.1016/j.biortech.2015.04.088</v>
      </c>
    </row>
    <row r="76" spans="1:4" x14ac:dyDescent="0.15">
      <c r="A76" t="s">
        <v>165</v>
      </c>
      <c r="B76" t="s">
        <v>166</v>
      </c>
      <c r="C76">
        <v>2022</v>
      </c>
      <c r="D76" t="str">
        <f>HYPERLINK("http://dx.doi.org/10.1016/j.scitotenv.2022.152951","http://dx.doi.org/10.1016/j.scitotenv.2022.152951")</f>
        <v>http://dx.doi.org/10.1016/j.scitotenv.2022.152951</v>
      </c>
    </row>
    <row r="77" spans="1:4" x14ac:dyDescent="0.15">
      <c r="A77" t="s">
        <v>7</v>
      </c>
      <c r="B77" t="s">
        <v>8</v>
      </c>
      <c r="C77">
        <v>2023</v>
      </c>
      <c r="D77" t="str">
        <f>HYPERLINK("http://dx.doi.org/10.1016/j.aquaculture.2023.739625","http://dx.doi.org/10.1016/j.aquaculture.2023.739625")</f>
        <v>http://dx.doi.org/10.1016/j.aquaculture.2023.739625</v>
      </c>
    </row>
    <row r="78" spans="1:4" x14ac:dyDescent="0.15">
      <c r="A78" t="s">
        <v>39</v>
      </c>
      <c r="B78" t="s">
        <v>40</v>
      </c>
      <c r="C78">
        <v>2015</v>
      </c>
      <c r="D78" t="str">
        <f>HYPERLINK("http://dx.doi.org/10.3390/su70912386","http://dx.doi.org/10.3390/su70912386")</f>
        <v>http://dx.doi.org/10.3390/su70912386</v>
      </c>
    </row>
    <row r="79" spans="1:4" x14ac:dyDescent="0.15">
      <c r="A79" t="s">
        <v>71</v>
      </c>
      <c r="B79" t="s">
        <v>72</v>
      </c>
      <c r="C79">
        <v>2018</v>
      </c>
      <c r="D79" t="str">
        <f>HYPERLINK("http://dx.doi.org/10.1016/j.ecolind.2017.12.068","http://dx.doi.org/10.1016/j.ecolind.2017.12.068")</f>
        <v>http://dx.doi.org/10.1016/j.ecolind.2017.12.068</v>
      </c>
    </row>
    <row r="80" spans="1:4" x14ac:dyDescent="0.15">
      <c r="A80" t="s">
        <v>55</v>
      </c>
      <c r="B80" t="s">
        <v>56</v>
      </c>
      <c r="C80">
        <v>2023</v>
      </c>
      <c r="D80" t="str">
        <f>HYPERLINK("http://dx.doi.org/10.1111/jwas.12963","http://dx.doi.org/10.1111/jwas.12963")</f>
        <v>http://dx.doi.org/10.1111/jwas.12963</v>
      </c>
    </row>
    <row r="81" spans="1:4" x14ac:dyDescent="0.15">
      <c r="A81" t="s">
        <v>157</v>
      </c>
      <c r="B81" t="s">
        <v>158</v>
      </c>
      <c r="C81">
        <v>2022</v>
      </c>
      <c r="D81" t="str">
        <f>HYPERLINK("http://dx.doi.org/10.1016/j.cej.2022.135937","http://dx.doi.org/10.1016/j.cej.2022.135937")</f>
        <v>http://dx.doi.org/10.1016/j.cej.2022.135937</v>
      </c>
    </row>
    <row r="82" spans="1:4" x14ac:dyDescent="0.15">
      <c r="A82" t="s">
        <v>155</v>
      </c>
      <c r="B82" t="s">
        <v>156</v>
      </c>
      <c r="C82">
        <v>2019</v>
      </c>
      <c r="D82" t="str">
        <f>HYPERLINK("http://dx.doi.org/10.1016/j.jclepro.2019.05.057","http://dx.doi.org/10.1016/j.jclepro.2019.05.057")</f>
        <v>http://dx.doi.org/10.1016/j.jclepro.2019.05.057</v>
      </c>
    </row>
    <row r="83" spans="1:4" x14ac:dyDescent="0.15">
      <c r="A83" t="s">
        <v>61</v>
      </c>
      <c r="B83" t="s">
        <v>62</v>
      </c>
      <c r="C83">
        <v>2011</v>
      </c>
      <c r="D83" t="str">
        <f>HYPERLINK("http://dx.doi.org/10.1111/j.1530-9290.2011.00344.x","http://dx.doi.org/10.1111/j.1530-9290.2011.00344.x")</f>
        <v>http://dx.doi.org/10.1111/j.1530-9290.2011.00344.x</v>
      </c>
    </row>
    <row r="84" spans="1:4" x14ac:dyDescent="0.15">
      <c r="A84" t="s">
        <v>132</v>
      </c>
      <c r="B84" t="s">
        <v>133</v>
      </c>
      <c r="C84">
        <v>2018</v>
      </c>
      <c r="D84" t="str">
        <f>HYPERLINK("http://dx.doi.org/10.1007/s11367-015-0898-3","http://dx.doi.org/10.1007/s11367-015-0898-3")</f>
        <v>http://dx.doi.org/10.1007/s11367-015-0898-3</v>
      </c>
    </row>
    <row r="85" spans="1:4" x14ac:dyDescent="0.15">
      <c r="A85" t="s">
        <v>105</v>
      </c>
      <c r="B85" t="s">
        <v>106</v>
      </c>
      <c r="C85">
        <v>2016</v>
      </c>
      <c r="D85" t="str">
        <f>HYPERLINK("http://dx.doi.org/10.1093/icesjms/fsw035","http://dx.doi.org/10.1093/icesjms/fsw035")</f>
        <v>http://dx.doi.org/10.1093/icesjms/fsw035</v>
      </c>
    </row>
    <row r="86" spans="1:4" x14ac:dyDescent="0.15">
      <c r="A86" t="s">
        <v>134</v>
      </c>
      <c r="B86" t="s">
        <v>135</v>
      </c>
      <c r="C86">
        <v>2022</v>
      </c>
      <c r="D86" t="str">
        <f>HYPERLINK("http://dx.doi.org/10.1111/jiec.13150","http://dx.doi.org/10.1111/jiec.13150")</f>
        <v>http://dx.doi.org/10.1111/jiec.13150</v>
      </c>
    </row>
  </sheetData>
  <sortState xmlns:xlrd2="http://schemas.microsoft.com/office/spreadsheetml/2017/richdata2" ref="A2:D86">
    <sortCondition ref="A1:A86"/>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8"/>
  <sheetViews>
    <sheetView zoomScaleNormal="100" workbookViewId="0">
      <selection activeCell="B11" sqref="B11"/>
    </sheetView>
  </sheetViews>
  <sheetFormatPr baseColWidth="10" defaultRowHeight="13" x14ac:dyDescent="0.15"/>
  <cols>
    <col min="1" max="1" width="4.5" customWidth="1"/>
    <col min="2" max="2" width="70" customWidth="1"/>
    <col min="3" max="3" width="96.1640625" customWidth="1"/>
    <col min="4" max="4" width="13.1640625" customWidth="1"/>
    <col min="5" max="256" width="8.83203125" customWidth="1"/>
  </cols>
  <sheetData>
    <row r="1" spans="1:4" s="2" customFormat="1" x14ac:dyDescent="0.15">
      <c r="B1" s="2" t="s">
        <v>0</v>
      </c>
      <c r="C1" s="2" t="s">
        <v>1</v>
      </c>
      <c r="D1" s="2" t="s">
        <v>2</v>
      </c>
    </row>
    <row r="2" spans="1:4" x14ac:dyDescent="0.15">
      <c r="A2">
        <v>1</v>
      </c>
      <c r="B2" t="s">
        <v>19</v>
      </c>
      <c r="C2" t="s">
        <v>20</v>
      </c>
      <c r="D2">
        <v>2022</v>
      </c>
    </row>
    <row r="3" spans="1:4" x14ac:dyDescent="0.15">
      <c r="A3">
        <v>2</v>
      </c>
      <c r="B3" t="s">
        <v>49</v>
      </c>
      <c r="C3" t="s">
        <v>50</v>
      </c>
      <c r="D3">
        <v>2015</v>
      </c>
    </row>
    <row r="4" spans="1:4" x14ac:dyDescent="0.15">
      <c r="A4">
        <v>3</v>
      </c>
      <c r="B4" t="s">
        <v>93</v>
      </c>
      <c r="C4" t="s">
        <v>94</v>
      </c>
      <c r="D4">
        <v>2018</v>
      </c>
    </row>
    <row r="5" spans="1:4" x14ac:dyDescent="0.15">
      <c r="A5">
        <v>4</v>
      </c>
      <c r="B5" t="s">
        <v>79</v>
      </c>
      <c r="C5" t="s">
        <v>80</v>
      </c>
      <c r="D5">
        <v>2017</v>
      </c>
    </row>
    <row r="6" spans="1:4" x14ac:dyDescent="0.15">
      <c r="A6">
        <v>5</v>
      </c>
      <c r="B6" t="s">
        <v>23</v>
      </c>
      <c r="C6" t="s">
        <v>24</v>
      </c>
      <c r="D6">
        <v>2011</v>
      </c>
    </row>
    <row r="7" spans="1:4" x14ac:dyDescent="0.15">
      <c r="A7">
        <v>6</v>
      </c>
      <c r="B7" t="s">
        <v>45</v>
      </c>
      <c r="C7" t="s">
        <v>46</v>
      </c>
      <c r="D7">
        <v>2017</v>
      </c>
    </row>
    <row r="8" spans="1:4" x14ac:dyDescent="0.15">
      <c r="A8">
        <v>7</v>
      </c>
      <c r="B8" t="s">
        <v>9</v>
      </c>
      <c r="C8" t="s">
        <v>10</v>
      </c>
      <c r="D8">
        <v>2021</v>
      </c>
    </row>
    <row r="9" spans="1:4" x14ac:dyDescent="0.15">
      <c r="A9">
        <v>8</v>
      </c>
      <c r="B9" t="s">
        <v>59</v>
      </c>
      <c r="C9" t="s">
        <v>60</v>
      </c>
      <c r="D9">
        <v>2023</v>
      </c>
    </row>
    <row r="10" spans="1:4" x14ac:dyDescent="0.15">
      <c r="A10">
        <v>9</v>
      </c>
      <c r="B10" t="s">
        <v>11</v>
      </c>
      <c r="C10" t="s">
        <v>12</v>
      </c>
      <c r="D10">
        <v>2022</v>
      </c>
    </row>
    <row r="11" spans="1:4" x14ac:dyDescent="0.15">
      <c r="A11">
        <v>10</v>
      </c>
      <c r="B11" t="s">
        <v>69</v>
      </c>
      <c r="C11" t="s">
        <v>70</v>
      </c>
      <c r="D11">
        <v>2019</v>
      </c>
    </row>
    <row r="12" spans="1:4" x14ac:dyDescent="0.15">
      <c r="A12">
        <v>11</v>
      </c>
      <c r="B12" t="s">
        <v>43</v>
      </c>
      <c r="C12" t="s">
        <v>44</v>
      </c>
      <c r="D12">
        <v>2015</v>
      </c>
    </row>
    <row r="13" spans="1:4" x14ac:dyDescent="0.15">
      <c r="A13">
        <v>12</v>
      </c>
      <c r="B13" t="s">
        <v>4</v>
      </c>
      <c r="C13" t="s">
        <v>6</v>
      </c>
      <c r="D13">
        <v>2015</v>
      </c>
    </row>
    <row r="14" spans="1:4" x14ac:dyDescent="0.15">
      <c r="A14">
        <v>13</v>
      </c>
      <c r="B14" t="s">
        <v>27</v>
      </c>
      <c r="C14" t="s">
        <v>28</v>
      </c>
      <c r="D14">
        <v>2010</v>
      </c>
    </row>
    <row r="15" spans="1:4" x14ac:dyDescent="0.15">
      <c r="A15">
        <v>14</v>
      </c>
      <c r="B15" t="s">
        <v>31</v>
      </c>
      <c r="C15" t="s">
        <v>32</v>
      </c>
      <c r="D15">
        <v>2017</v>
      </c>
    </row>
    <row r="16" spans="1:4" x14ac:dyDescent="0.15">
      <c r="A16">
        <v>15</v>
      </c>
      <c r="B16" t="s">
        <v>21</v>
      </c>
      <c r="C16" t="s">
        <v>22</v>
      </c>
      <c r="D16">
        <v>2006</v>
      </c>
    </row>
    <row r="17" spans="1:4" x14ac:dyDescent="0.15">
      <c r="A17">
        <v>16</v>
      </c>
      <c r="B17" t="s">
        <v>83</v>
      </c>
      <c r="C17" t="s">
        <v>84</v>
      </c>
      <c r="D17">
        <v>2021</v>
      </c>
    </row>
    <row r="18" spans="1:4" x14ac:dyDescent="0.15">
      <c r="A18">
        <v>17</v>
      </c>
      <c r="B18" t="s">
        <v>7</v>
      </c>
      <c r="C18" t="s">
        <v>8</v>
      </c>
      <c r="D18">
        <v>2023</v>
      </c>
    </row>
  </sheetData>
  <sortState xmlns:xlrd2="http://schemas.microsoft.com/office/spreadsheetml/2017/richdata2" ref="B2:D18">
    <sortCondition ref="B1:B18"/>
  </sortState>
  <pageMargins left="0.75" right="0.75" top="1" bottom="1" header="0.5" footer="0.5"/>
  <pageSetup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54"/>
  <sheetViews>
    <sheetView workbookViewId="0">
      <selection activeCell="A55" sqref="A55:IV55"/>
    </sheetView>
  </sheetViews>
  <sheetFormatPr baseColWidth="10" defaultRowHeight="13" x14ac:dyDescent="0.15"/>
  <cols>
    <col min="1" max="1" width="42.83203125" customWidth="1"/>
    <col min="2" max="2" width="149" customWidth="1"/>
  </cols>
  <sheetData>
    <row r="1" spans="1:3" ht="16" x14ac:dyDescent="0.2">
      <c r="A1" s="3" t="s">
        <v>247</v>
      </c>
      <c r="B1" s="3" t="s">
        <v>58</v>
      </c>
      <c r="C1" s="3">
        <v>2018</v>
      </c>
    </row>
    <row r="2" spans="1:3" ht="16" x14ac:dyDescent="0.2">
      <c r="A2" s="3" t="s">
        <v>217</v>
      </c>
      <c r="B2" s="3" t="s">
        <v>218</v>
      </c>
      <c r="C2" s="3">
        <v>2022</v>
      </c>
    </row>
    <row r="3" spans="1:3" ht="16" x14ac:dyDescent="0.2">
      <c r="A3" s="3" t="s">
        <v>186</v>
      </c>
      <c r="B3" s="3" t="s">
        <v>20</v>
      </c>
      <c r="C3" s="3">
        <v>2022</v>
      </c>
    </row>
    <row r="4" spans="1:3" ht="16" x14ac:dyDescent="0.2">
      <c r="A4" s="3" t="s">
        <v>238</v>
      </c>
      <c r="B4" s="3" t="s">
        <v>117</v>
      </c>
      <c r="C4" s="3">
        <v>2019</v>
      </c>
    </row>
    <row r="5" spans="1:3" ht="16" x14ac:dyDescent="0.2">
      <c r="A5" s="3" t="s">
        <v>183</v>
      </c>
      <c r="B5" s="3" t="s">
        <v>50</v>
      </c>
      <c r="C5" s="3">
        <v>2015</v>
      </c>
    </row>
    <row r="6" spans="1:3" ht="16" x14ac:dyDescent="0.2">
      <c r="A6" s="3" t="s">
        <v>234</v>
      </c>
      <c r="B6" s="3" t="s">
        <v>235</v>
      </c>
      <c r="C6" s="3">
        <v>2018</v>
      </c>
    </row>
    <row r="7" spans="1:3" ht="16" x14ac:dyDescent="0.2">
      <c r="A7" s="3" t="s">
        <v>177</v>
      </c>
      <c r="B7" s="3" t="s">
        <v>178</v>
      </c>
      <c r="C7" s="3">
        <v>2017</v>
      </c>
    </row>
    <row r="8" spans="1:3" ht="16" x14ac:dyDescent="0.2">
      <c r="A8" s="3" t="s">
        <v>245</v>
      </c>
      <c r="B8" s="3" t="s">
        <v>246</v>
      </c>
      <c r="C8" s="3">
        <v>2011</v>
      </c>
    </row>
    <row r="9" spans="1:3" ht="16" x14ac:dyDescent="0.2">
      <c r="A9" s="3" t="s">
        <v>244</v>
      </c>
      <c r="B9" s="3" t="s">
        <v>46</v>
      </c>
      <c r="C9" s="3">
        <v>2017</v>
      </c>
    </row>
    <row r="10" spans="1:3" ht="16" x14ac:dyDescent="0.2">
      <c r="A10" s="3" t="s">
        <v>208</v>
      </c>
      <c r="B10" s="3" t="s">
        <v>88</v>
      </c>
      <c r="C10" s="3">
        <v>2021</v>
      </c>
    </row>
    <row r="11" spans="1:3" ht="16" x14ac:dyDescent="0.2">
      <c r="A11" s="3" t="s">
        <v>201</v>
      </c>
      <c r="B11" s="3" t="s">
        <v>10</v>
      </c>
      <c r="C11" s="3">
        <v>2021</v>
      </c>
    </row>
    <row r="12" spans="1:3" ht="16" x14ac:dyDescent="0.2">
      <c r="A12" s="3" t="s">
        <v>212</v>
      </c>
      <c r="B12" s="3" t="s">
        <v>213</v>
      </c>
      <c r="C12" s="3">
        <v>2009</v>
      </c>
    </row>
    <row r="13" spans="1:3" ht="16" x14ac:dyDescent="0.2">
      <c r="A13" s="3" t="s">
        <v>189</v>
      </c>
      <c r="B13" s="3" t="s">
        <v>190</v>
      </c>
      <c r="C13" s="3">
        <v>2015</v>
      </c>
    </row>
    <row r="14" spans="1:3" ht="16" x14ac:dyDescent="0.2">
      <c r="A14" s="3" t="s">
        <v>195</v>
      </c>
      <c r="B14" s="3" t="s">
        <v>66</v>
      </c>
      <c r="C14" s="3">
        <v>2017</v>
      </c>
    </row>
    <row r="15" spans="1:3" ht="16" x14ac:dyDescent="0.2">
      <c r="A15" s="3" t="s">
        <v>182</v>
      </c>
      <c r="B15" s="3" t="s">
        <v>60</v>
      </c>
      <c r="C15" s="3">
        <v>2023</v>
      </c>
    </row>
    <row r="16" spans="1:3" ht="16" x14ac:dyDescent="0.2">
      <c r="A16" s="3" t="s">
        <v>231</v>
      </c>
      <c r="B16" s="3" t="s">
        <v>170</v>
      </c>
      <c r="C16" s="3">
        <v>1999</v>
      </c>
    </row>
    <row r="17" spans="1:3" ht="16" x14ac:dyDescent="0.2">
      <c r="A17" s="3" t="s">
        <v>202</v>
      </c>
      <c r="B17" s="3" t="s">
        <v>203</v>
      </c>
      <c r="C17" s="3">
        <v>2022</v>
      </c>
    </row>
    <row r="18" spans="1:3" ht="16" x14ac:dyDescent="0.2">
      <c r="A18" s="3" t="s">
        <v>211</v>
      </c>
      <c r="B18" s="3" t="s">
        <v>149</v>
      </c>
      <c r="C18" s="3">
        <v>2019</v>
      </c>
    </row>
    <row r="19" spans="1:3" ht="16" x14ac:dyDescent="0.2">
      <c r="A19" s="3" t="s">
        <v>180</v>
      </c>
      <c r="B19" s="3" t="s">
        <v>12</v>
      </c>
      <c r="C19" s="3">
        <v>2022</v>
      </c>
    </row>
    <row r="20" spans="1:3" ht="16" x14ac:dyDescent="0.2">
      <c r="A20" s="3" t="s">
        <v>221</v>
      </c>
      <c r="B20" s="3" t="s">
        <v>222</v>
      </c>
      <c r="C20" s="3">
        <v>2016</v>
      </c>
    </row>
    <row r="21" spans="1:3" ht="16" x14ac:dyDescent="0.2">
      <c r="A21" s="3" t="s">
        <v>204</v>
      </c>
      <c r="B21" s="3" t="s">
        <v>70</v>
      </c>
      <c r="C21" s="3">
        <v>2019</v>
      </c>
    </row>
    <row r="22" spans="1:3" ht="16" x14ac:dyDescent="0.2">
      <c r="A22" s="3" t="s">
        <v>196</v>
      </c>
      <c r="B22" s="3" t="s">
        <v>44</v>
      </c>
      <c r="C22" s="3">
        <v>2015</v>
      </c>
    </row>
    <row r="23" spans="1:3" ht="16" x14ac:dyDescent="0.2">
      <c r="A23" s="3" t="s">
        <v>197</v>
      </c>
      <c r="B23" s="3" t="s">
        <v>198</v>
      </c>
      <c r="C23" s="3">
        <v>2022</v>
      </c>
    </row>
    <row r="24" spans="1:3" ht="16" x14ac:dyDescent="0.2">
      <c r="A24" s="3" t="s">
        <v>197</v>
      </c>
      <c r="B24" s="3" t="s">
        <v>26</v>
      </c>
      <c r="C24" s="3">
        <v>2018</v>
      </c>
    </row>
    <row r="25" spans="1:3" ht="16" x14ac:dyDescent="0.2">
      <c r="A25" s="3" t="s">
        <v>229</v>
      </c>
      <c r="B25" s="3" t="s">
        <v>6</v>
      </c>
      <c r="C25" s="3">
        <v>2015</v>
      </c>
    </row>
    <row r="26" spans="1:3" ht="16" x14ac:dyDescent="0.2">
      <c r="A26" s="3" t="s">
        <v>214</v>
      </c>
      <c r="B26" s="3" t="s">
        <v>215</v>
      </c>
      <c r="C26" s="3">
        <v>2022</v>
      </c>
    </row>
    <row r="27" spans="1:3" ht="16" x14ac:dyDescent="0.2">
      <c r="A27" s="3" t="s">
        <v>175</v>
      </c>
      <c r="B27" s="3" t="s">
        <v>176</v>
      </c>
      <c r="C27" s="3">
        <v>2022</v>
      </c>
    </row>
    <row r="28" spans="1:3" ht="16" x14ac:dyDescent="0.2">
      <c r="A28" s="3" t="s">
        <v>193</v>
      </c>
      <c r="B28" s="3" t="s">
        <v>28</v>
      </c>
      <c r="C28" s="3">
        <v>2010</v>
      </c>
    </row>
    <row r="29" spans="1:3" ht="16" x14ac:dyDescent="0.2">
      <c r="A29" s="3" t="s">
        <v>219</v>
      </c>
      <c r="B29" s="3" t="s">
        <v>220</v>
      </c>
      <c r="C29" s="3">
        <v>2009</v>
      </c>
    </row>
    <row r="30" spans="1:3" ht="16" x14ac:dyDescent="0.2">
      <c r="A30" s="3" t="s">
        <v>242</v>
      </c>
      <c r="B30" s="3" t="s">
        <v>243</v>
      </c>
      <c r="C30" s="3">
        <v>2008</v>
      </c>
    </row>
    <row r="31" spans="1:3" ht="16" x14ac:dyDescent="0.2">
      <c r="A31" s="3" t="s">
        <v>239</v>
      </c>
      <c r="B31" s="3" t="s">
        <v>240</v>
      </c>
      <c r="C31" s="3">
        <v>2018</v>
      </c>
    </row>
    <row r="32" spans="1:3" ht="16" x14ac:dyDescent="0.2">
      <c r="A32" s="3" t="s">
        <v>207</v>
      </c>
      <c r="B32" s="3" t="s">
        <v>32</v>
      </c>
      <c r="C32" s="3">
        <v>2017</v>
      </c>
    </row>
    <row r="33" spans="1:3" ht="16" x14ac:dyDescent="0.2">
      <c r="A33" s="3" t="s">
        <v>205</v>
      </c>
      <c r="B33" s="3" t="s">
        <v>206</v>
      </c>
      <c r="C33" s="3">
        <v>2022</v>
      </c>
    </row>
    <row r="34" spans="1:3" ht="16" x14ac:dyDescent="0.2">
      <c r="A34" s="3" t="s">
        <v>200</v>
      </c>
      <c r="B34" s="3" t="s">
        <v>22</v>
      </c>
      <c r="C34" s="3">
        <v>2006</v>
      </c>
    </row>
    <row r="35" spans="1:3" ht="16" x14ac:dyDescent="0.2">
      <c r="A35" s="3" t="s">
        <v>228</v>
      </c>
      <c r="B35" s="3" t="s">
        <v>30</v>
      </c>
      <c r="C35" s="3">
        <v>2018</v>
      </c>
    </row>
    <row r="36" spans="1:3" ht="16" x14ac:dyDescent="0.2">
      <c r="A36" s="3" t="s">
        <v>209</v>
      </c>
      <c r="B36" s="3" t="s">
        <v>210</v>
      </c>
      <c r="C36" s="3">
        <v>2018</v>
      </c>
    </row>
    <row r="37" spans="1:3" ht="16" x14ac:dyDescent="0.2">
      <c r="A37" s="3" t="s">
        <v>230</v>
      </c>
      <c r="B37" s="3" t="s">
        <v>143</v>
      </c>
      <c r="C37" s="3">
        <v>2021</v>
      </c>
    </row>
    <row r="38" spans="1:3" ht="16" x14ac:dyDescent="0.2">
      <c r="A38" s="3" t="s">
        <v>248</v>
      </c>
      <c r="B38" s="3" t="s">
        <v>249</v>
      </c>
      <c r="C38" s="3">
        <v>2021</v>
      </c>
    </row>
    <row r="39" spans="1:3" ht="16" x14ac:dyDescent="0.2">
      <c r="A39" s="3" t="s">
        <v>227</v>
      </c>
      <c r="B39" s="3" t="s">
        <v>96</v>
      </c>
      <c r="C39" s="3">
        <v>2022</v>
      </c>
    </row>
    <row r="40" spans="1:3" ht="16" x14ac:dyDescent="0.2">
      <c r="A40" s="3" t="s">
        <v>194</v>
      </c>
      <c r="B40" s="3" t="s">
        <v>82</v>
      </c>
      <c r="C40" s="3">
        <v>2022</v>
      </c>
    </row>
    <row r="41" spans="1:3" ht="16" x14ac:dyDescent="0.2">
      <c r="A41" s="3" t="s">
        <v>232</v>
      </c>
      <c r="B41" s="3" t="s">
        <v>233</v>
      </c>
      <c r="C41" s="3">
        <v>2024</v>
      </c>
    </row>
    <row r="42" spans="1:3" ht="16" x14ac:dyDescent="0.2">
      <c r="A42" s="3" t="s">
        <v>181</v>
      </c>
      <c r="B42" s="3" t="s">
        <v>92</v>
      </c>
      <c r="C42" s="3">
        <v>2021</v>
      </c>
    </row>
    <row r="43" spans="1:3" ht="16" x14ac:dyDescent="0.2">
      <c r="A43" s="3" t="s">
        <v>224</v>
      </c>
      <c r="B43" s="3" t="s">
        <v>225</v>
      </c>
      <c r="C43" s="3">
        <v>2023</v>
      </c>
    </row>
    <row r="44" spans="1:3" ht="16" x14ac:dyDescent="0.2">
      <c r="A44" s="3" t="s">
        <v>199</v>
      </c>
      <c r="B44" s="3" t="s">
        <v>14</v>
      </c>
      <c r="C44" s="3">
        <v>2015</v>
      </c>
    </row>
    <row r="45" spans="1:3" ht="16" x14ac:dyDescent="0.2">
      <c r="A45" s="3" t="s">
        <v>216</v>
      </c>
      <c r="B45" s="3" t="s">
        <v>153</v>
      </c>
      <c r="C45" s="3">
        <v>2018</v>
      </c>
    </row>
    <row r="46" spans="1:3" ht="16" x14ac:dyDescent="0.2">
      <c r="A46" s="3" t="s">
        <v>250</v>
      </c>
      <c r="B46" s="3" t="s">
        <v>68</v>
      </c>
      <c r="C46" s="3">
        <v>2015</v>
      </c>
    </row>
    <row r="47" spans="1:3" ht="16" x14ac:dyDescent="0.2">
      <c r="A47" s="3" t="s">
        <v>226</v>
      </c>
      <c r="B47" s="3" t="s">
        <v>8</v>
      </c>
      <c r="C47" s="3">
        <v>2023</v>
      </c>
    </row>
    <row r="48" spans="1:3" ht="16" x14ac:dyDescent="0.2">
      <c r="A48" s="3" t="s">
        <v>184</v>
      </c>
      <c r="B48" s="3" t="s">
        <v>185</v>
      </c>
      <c r="C48" s="3">
        <v>2014</v>
      </c>
    </row>
    <row r="49" spans="1:3" ht="16" x14ac:dyDescent="0.2">
      <c r="A49" s="3" t="s">
        <v>191</v>
      </c>
      <c r="B49" s="3" t="s">
        <v>192</v>
      </c>
      <c r="C49" s="3">
        <v>2015</v>
      </c>
    </row>
    <row r="50" spans="1:3" ht="16" x14ac:dyDescent="0.2">
      <c r="A50" s="3" t="s">
        <v>236</v>
      </c>
      <c r="B50" s="3" t="s">
        <v>237</v>
      </c>
      <c r="C50" s="3">
        <v>2013</v>
      </c>
    </row>
    <row r="51" spans="1:3" ht="16" x14ac:dyDescent="0.2">
      <c r="A51" s="3" t="s">
        <v>223</v>
      </c>
      <c r="B51" s="3" t="s">
        <v>158</v>
      </c>
      <c r="C51" s="3">
        <v>2022</v>
      </c>
    </row>
    <row r="52" spans="1:3" ht="16" x14ac:dyDescent="0.2">
      <c r="A52" s="3" t="s">
        <v>187</v>
      </c>
      <c r="B52" s="3" t="s">
        <v>188</v>
      </c>
      <c r="C52" s="3">
        <v>2011</v>
      </c>
    </row>
    <row r="53" spans="1:3" ht="16" x14ac:dyDescent="0.2">
      <c r="A53" s="3" t="s">
        <v>241</v>
      </c>
      <c r="B53" s="3" t="s">
        <v>156</v>
      </c>
      <c r="C53" s="3">
        <v>2019</v>
      </c>
    </row>
    <row r="54" spans="1:3" ht="16" x14ac:dyDescent="0.2">
      <c r="A54" s="3" t="s">
        <v>179</v>
      </c>
      <c r="B54" s="3" t="s">
        <v>133</v>
      </c>
      <c r="C54" s="3">
        <v>2018</v>
      </c>
    </row>
  </sheetData>
  <sortState xmlns:xlrd2="http://schemas.microsoft.com/office/spreadsheetml/2017/richdata2" ref="A1:C54">
    <sortCondition ref="A1:A54"/>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20"/>
  <sheetViews>
    <sheetView workbookViewId="0">
      <selection activeCell="A9" sqref="A9:XFD9"/>
    </sheetView>
  </sheetViews>
  <sheetFormatPr baseColWidth="10" defaultRowHeight="13" x14ac:dyDescent="0.15"/>
  <cols>
    <col min="1" max="1" width="6.1640625" customWidth="1"/>
    <col min="2" max="2" width="48.6640625" customWidth="1"/>
    <col min="3" max="3" width="101" customWidth="1"/>
  </cols>
  <sheetData>
    <row r="1" spans="1:4" x14ac:dyDescent="0.15">
      <c r="B1" s="1" t="s">
        <v>0</v>
      </c>
      <c r="C1" s="1" t="s">
        <v>173</v>
      </c>
      <c r="D1" s="1" t="s">
        <v>174</v>
      </c>
    </row>
    <row r="2" spans="1:4" ht="16" x14ac:dyDescent="0.2">
      <c r="A2">
        <v>1</v>
      </c>
      <c r="B2" s="3" t="s">
        <v>186</v>
      </c>
      <c r="C2" s="3" t="s">
        <v>20</v>
      </c>
      <c r="D2" s="3">
        <v>2022</v>
      </c>
    </row>
    <row r="3" spans="1:4" ht="16" x14ac:dyDescent="0.2">
      <c r="A3">
        <v>2</v>
      </c>
      <c r="B3" s="3" t="s">
        <v>183</v>
      </c>
      <c r="C3" s="3" t="s">
        <v>50</v>
      </c>
      <c r="D3" s="3">
        <v>2015</v>
      </c>
    </row>
    <row r="4" spans="1:4" ht="16" x14ac:dyDescent="0.2">
      <c r="A4">
        <v>3</v>
      </c>
      <c r="B4" s="3" t="s">
        <v>234</v>
      </c>
      <c r="C4" s="3" t="s">
        <v>235</v>
      </c>
      <c r="D4" s="3">
        <v>2018</v>
      </c>
    </row>
    <row r="5" spans="1:4" ht="16" x14ac:dyDescent="0.2">
      <c r="A5">
        <v>4</v>
      </c>
      <c r="B5" s="3" t="s">
        <v>245</v>
      </c>
      <c r="C5" s="3" t="s">
        <v>246</v>
      </c>
      <c r="D5" s="3">
        <v>2011</v>
      </c>
    </row>
    <row r="6" spans="1:4" ht="16" x14ac:dyDescent="0.2">
      <c r="A6">
        <v>5</v>
      </c>
      <c r="B6" s="3" t="s">
        <v>244</v>
      </c>
      <c r="C6" s="3" t="s">
        <v>46</v>
      </c>
      <c r="D6" s="3">
        <v>2017</v>
      </c>
    </row>
    <row r="7" spans="1:4" ht="16" x14ac:dyDescent="0.2">
      <c r="A7">
        <v>6</v>
      </c>
      <c r="B7" s="3" t="s">
        <v>201</v>
      </c>
      <c r="C7" s="3" t="s">
        <v>10</v>
      </c>
      <c r="D7" s="3">
        <v>2021</v>
      </c>
    </row>
    <row r="8" spans="1:4" ht="16" x14ac:dyDescent="0.2">
      <c r="A8">
        <v>7</v>
      </c>
      <c r="B8" s="3" t="s">
        <v>182</v>
      </c>
      <c r="C8" s="3" t="s">
        <v>60</v>
      </c>
      <c r="D8" s="3">
        <v>2023</v>
      </c>
    </row>
    <row r="9" spans="1:4" ht="16" x14ac:dyDescent="0.2">
      <c r="A9">
        <v>8</v>
      </c>
      <c r="B9" s="3" t="s">
        <v>180</v>
      </c>
      <c r="C9" s="3" t="s">
        <v>12</v>
      </c>
      <c r="D9" s="3">
        <v>2022</v>
      </c>
    </row>
    <row r="10" spans="1:4" ht="16" x14ac:dyDescent="0.2">
      <c r="A10">
        <v>9</v>
      </c>
      <c r="B10" s="3" t="s">
        <v>204</v>
      </c>
      <c r="C10" s="3" t="s">
        <v>70</v>
      </c>
      <c r="D10" s="3">
        <v>2019</v>
      </c>
    </row>
    <row r="11" spans="1:4" ht="16" x14ac:dyDescent="0.2">
      <c r="A11">
        <v>10</v>
      </c>
      <c r="B11" s="3" t="s">
        <v>196</v>
      </c>
      <c r="C11" s="3" t="s">
        <v>44</v>
      </c>
      <c r="D11" s="3">
        <v>2015</v>
      </c>
    </row>
    <row r="12" spans="1:4" ht="16" x14ac:dyDescent="0.2">
      <c r="A12">
        <v>11</v>
      </c>
      <c r="B12" s="3" t="s">
        <v>229</v>
      </c>
      <c r="C12" s="3" t="s">
        <v>6</v>
      </c>
      <c r="D12" s="3">
        <v>2015</v>
      </c>
    </row>
    <row r="13" spans="1:4" ht="16" x14ac:dyDescent="0.2">
      <c r="A13">
        <v>12</v>
      </c>
      <c r="B13" s="3" t="s">
        <v>175</v>
      </c>
      <c r="C13" s="3" t="s">
        <v>176</v>
      </c>
      <c r="D13" s="3">
        <v>2022</v>
      </c>
    </row>
    <row r="14" spans="1:4" ht="16" x14ac:dyDescent="0.2">
      <c r="A14">
        <v>13</v>
      </c>
      <c r="B14" s="3" t="s">
        <v>193</v>
      </c>
      <c r="C14" s="3" t="s">
        <v>28</v>
      </c>
      <c r="D14" s="3">
        <v>2010</v>
      </c>
    </row>
    <row r="15" spans="1:4" ht="16" x14ac:dyDescent="0.2">
      <c r="A15">
        <v>14</v>
      </c>
      <c r="B15" s="3" t="s">
        <v>207</v>
      </c>
      <c r="C15" s="3" t="s">
        <v>32</v>
      </c>
      <c r="D15" s="3">
        <v>2017</v>
      </c>
    </row>
    <row r="16" spans="1:4" ht="16" x14ac:dyDescent="0.2">
      <c r="A16">
        <v>15</v>
      </c>
      <c r="B16" s="3" t="s">
        <v>200</v>
      </c>
      <c r="C16" s="3" t="s">
        <v>22</v>
      </c>
      <c r="D16" s="3">
        <v>2006</v>
      </c>
    </row>
    <row r="17" spans="1:4" ht="16" x14ac:dyDescent="0.2">
      <c r="A17">
        <v>16</v>
      </c>
      <c r="B17" s="3" t="s">
        <v>248</v>
      </c>
      <c r="C17" s="3" t="s">
        <v>249</v>
      </c>
      <c r="D17" s="3">
        <v>2021</v>
      </c>
    </row>
    <row r="18" spans="1:4" ht="16" x14ac:dyDescent="0.2">
      <c r="A18">
        <v>17</v>
      </c>
      <c r="B18" s="3" t="s">
        <v>224</v>
      </c>
      <c r="C18" s="3" t="s">
        <v>225</v>
      </c>
      <c r="D18" s="3">
        <v>2023</v>
      </c>
    </row>
    <row r="19" spans="1:4" ht="16" x14ac:dyDescent="0.2">
      <c r="A19">
        <v>18</v>
      </c>
      <c r="B19" s="3" t="s">
        <v>226</v>
      </c>
      <c r="C19" s="3" t="s">
        <v>8</v>
      </c>
      <c r="D19" s="3">
        <v>2023</v>
      </c>
    </row>
    <row r="20" spans="1:4" ht="16" x14ac:dyDescent="0.2">
      <c r="A20">
        <v>19</v>
      </c>
      <c r="B20" s="3" t="s">
        <v>184</v>
      </c>
      <c r="C20" s="3" t="s">
        <v>185</v>
      </c>
      <c r="D20" s="3">
        <v>2014</v>
      </c>
    </row>
  </sheetData>
  <sortState xmlns:xlrd2="http://schemas.microsoft.com/office/spreadsheetml/2017/richdata2" ref="B2:D23">
    <sortCondition ref="B1:B23"/>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26"/>
  <sheetViews>
    <sheetView zoomScale="131" zoomScaleNormal="131" workbookViewId="0">
      <selection activeCell="C18" sqref="C18"/>
    </sheetView>
  </sheetViews>
  <sheetFormatPr baseColWidth="10" defaultRowHeight="13" x14ac:dyDescent="0.15"/>
  <cols>
    <col min="2" max="2" width="70" customWidth="1"/>
    <col min="3" max="3" width="68.6640625" customWidth="1"/>
    <col min="4" max="4" width="5.1640625" customWidth="1"/>
  </cols>
  <sheetData>
    <row r="1" spans="1:6" x14ac:dyDescent="0.15">
      <c r="B1" s="2" t="s">
        <v>0</v>
      </c>
      <c r="C1" s="2" t="s">
        <v>173</v>
      </c>
      <c r="D1" s="2" t="s">
        <v>174</v>
      </c>
    </row>
    <row r="2" spans="1:6" x14ac:dyDescent="0.15">
      <c r="A2">
        <v>1</v>
      </c>
      <c r="B2" t="s">
        <v>186</v>
      </c>
      <c r="C2" t="s">
        <v>20</v>
      </c>
      <c r="D2">
        <v>2022</v>
      </c>
    </row>
    <row r="3" spans="1:6" ht="14" x14ac:dyDescent="0.15">
      <c r="A3">
        <v>2</v>
      </c>
      <c r="B3" t="s">
        <v>49</v>
      </c>
      <c r="C3" s="8" t="s">
        <v>50</v>
      </c>
      <c r="D3">
        <v>2015</v>
      </c>
      <c r="E3" s="6" t="s">
        <v>255</v>
      </c>
      <c r="F3" s="7" t="s">
        <v>252</v>
      </c>
    </row>
    <row r="4" spans="1:6" x14ac:dyDescent="0.15">
      <c r="A4">
        <v>3</v>
      </c>
      <c r="B4" t="s">
        <v>93</v>
      </c>
      <c r="C4" t="s">
        <v>94</v>
      </c>
      <c r="D4">
        <v>2018</v>
      </c>
    </row>
    <row r="5" spans="1:6" ht="14" x14ac:dyDescent="0.15">
      <c r="A5">
        <v>4</v>
      </c>
      <c r="B5" t="s">
        <v>245</v>
      </c>
      <c r="C5" s="8" t="s">
        <v>246</v>
      </c>
      <c r="D5">
        <v>2011</v>
      </c>
      <c r="E5" s="6" t="s">
        <v>255</v>
      </c>
      <c r="F5" s="7" t="s">
        <v>253</v>
      </c>
    </row>
    <row r="6" spans="1:6" x14ac:dyDescent="0.15">
      <c r="A6">
        <v>5</v>
      </c>
      <c r="B6" t="s">
        <v>244</v>
      </c>
      <c r="C6" t="s">
        <v>46</v>
      </c>
      <c r="D6">
        <v>2017</v>
      </c>
    </row>
    <row r="7" spans="1:6" x14ac:dyDescent="0.15">
      <c r="A7">
        <v>6</v>
      </c>
      <c r="B7" t="s">
        <v>201</v>
      </c>
      <c r="C7" t="s">
        <v>10</v>
      </c>
      <c r="D7">
        <v>2021</v>
      </c>
    </row>
    <row r="8" spans="1:6" x14ac:dyDescent="0.15">
      <c r="A8">
        <v>7</v>
      </c>
      <c r="B8" t="s">
        <v>182</v>
      </c>
      <c r="C8" t="s">
        <v>60</v>
      </c>
      <c r="D8">
        <v>2023</v>
      </c>
    </row>
    <row r="9" spans="1:6" x14ac:dyDescent="0.15">
      <c r="A9">
        <v>8</v>
      </c>
      <c r="B9" t="s">
        <v>180</v>
      </c>
      <c r="C9" t="s">
        <v>12</v>
      </c>
      <c r="D9">
        <v>2022</v>
      </c>
    </row>
    <row r="10" spans="1:6" x14ac:dyDescent="0.15">
      <c r="A10">
        <v>9</v>
      </c>
      <c r="B10" t="s">
        <v>69</v>
      </c>
      <c r="C10" t="s">
        <v>70</v>
      </c>
      <c r="D10">
        <v>2019</v>
      </c>
    </row>
    <row r="11" spans="1:6" x14ac:dyDescent="0.15">
      <c r="A11">
        <v>10</v>
      </c>
      <c r="B11" t="s">
        <v>43</v>
      </c>
      <c r="C11" t="s">
        <v>44</v>
      </c>
      <c r="D11">
        <v>2015</v>
      </c>
    </row>
    <row r="12" spans="1:6" x14ac:dyDescent="0.15">
      <c r="A12">
        <v>11</v>
      </c>
      <c r="B12" t="s">
        <v>4</v>
      </c>
      <c r="C12" t="s">
        <v>6</v>
      </c>
      <c r="D12">
        <v>2015</v>
      </c>
    </row>
    <row r="13" spans="1:6" x14ac:dyDescent="0.15">
      <c r="A13">
        <v>12</v>
      </c>
      <c r="B13" s="4" t="s">
        <v>175</v>
      </c>
      <c r="C13" t="s">
        <v>176</v>
      </c>
      <c r="D13">
        <v>2022</v>
      </c>
    </row>
    <row r="14" spans="1:6" x14ac:dyDescent="0.15">
      <c r="A14">
        <v>13</v>
      </c>
      <c r="B14" t="s">
        <v>27</v>
      </c>
      <c r="C14" t="s">
        <v>28</v>
      </c>
      <c r="D14">
        <v>2010</v>
      </c>
    </row>
    <row r="15" spans="1:6" x14ac:dyDescent="0.15">
      <c r="A15">
        <v>14</v>
      </c>
      <c r="B15" t="s">
        <v>207</v>
      </c>
      <c r="C15" t="s">
        <v>32</v>
      </c>
      <c r="D15">
        <v>2017</v>
      </c>
    </row>
    <row r="16" spans="1:6" ht="14" x14ac:dyDescent="0.15">
      <c r="A16">
        <v>15</v>
      </c>
      <c r="B16" t="s">
        <v>21</v>
      </c>
      <c r="C16" s="8" t="s">
        <v>22</v>
      </c>
      <c r="D16">
        <v>2006</v>
      </c>
      <c r="E16" s="6" t="s">
        <v>255</v>
      </c>
      <c r="F16" s="7" t="s">
        <v>254</v>
      </c>
    </row>
    <row r="17" spans="1:4" x14ac:dyDescent="0.15">
      <c r="A17">
        <v>16</v>
      </c>
      <c r="B17" t="s">
        <v>83</v>
      </c>
      <c r="C17" t="s">
        <v>84</v>
      </c>
      <c r="D17">
        <v>2021</v>
      </c>
    </row>
    <row r="18" spans="1:4" x14ac:dyDescent="0.15">
      <c r="A18">
        <v>17</v>
      </c>
      <c r="B18" s="4" t="s">
        <v>224</v>
      </c>
      <c r="C18" t="s">
        <v>225</v>
      </c>
      <c r="D18">
        <v>2023</v>
      </c>
    </row>
    <row r="19" spans="1:4" x14ac:dyDescent="0.15">
      <c r="A19">
        <v>18</v>
      </c>
      <c r="B19" t="s">
        <v>226</v>
      </c>
      <c r="C19" t="s">
        <v>8</v>
      </c>
      <c r="D19">
        <v>2023</v>
      </c>
    </row>
    <row r="20" spans="1:4" x14ac:dyDescent="0.15">
      <c r="A20">
        <v>19</v>
      </c>
      <c r="B20" s="4" t="s">
        <v>184</v>
      </c>
      <c r="C20" t="s">
        <v>185</v>
      </c>
      <c r="D20">
        <v>2014</v>
      </c>
    </row>
    <row r="22" spans="1:4" x14ac:dyDescent="0.15">
      <c r="B22" s="4" t="s">
        <v>251</v>
      </c>
    </row>
    <row r="24" spans="1:4" ht="14" x14ac:dyDescent="0.15">
      <c r="A24" s="1"/>
      <c r="B24" s="5" t="s">
        <v>256</v>
      </c>
    </row>
    <row r="25" spans="1:4" x14ac:dyDescent="0.15">
      <c r="A25" s="1"/>
      <c r="B25" s="1" t="s">
        <v>259</v>
      </c>
    </row>
    <row r="26" spans="1:4" x14ac:dyDescent="0.15">
      <c r="A26" s="1" t="s">
        <v>260</v>
      </c>
      <c r="B26" t="s">
        <v>257</v>
      </c>
      <c r="C26" s="1" t="s">
        <v>258</v>
      </c>
    </row>
  </sheetData>
  <sortState xmlns:xlrd2="http://schemas.microsoft.com/office/spreadsheetml/2017/richdata2" ref="B2:D20">
    <sortCondition ref="B1:B20"/>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0FB387-76F2-A340-B291-6816FCFA8406}">
  <dimension ref="A1:FF901"/>
  <sheetViews>
    <sheetView tabSelected="1" zoomScale="125" zoomScaleNormal="66" workbookViewId="0">
      <pane xSplit="4" ySplit="2" topLeftCell="E3" activePane="bottomRight" state="frozen"/>
      <selection pane="topRight" activeCell="E1" sqref="E1"/>
      <selection pane="bottomLeft" activeCell="A3" sqref="A3"/>
      <selection pane="bottomRight" activeCell="A39" sqref="A39:XFD39"/>
    </sheetView>
  </sheetViews>
  <sheetFormatPr baseColWidth="10" defaultRowHeight="14" x14ac:dyDescent="0.15"/>
  <cols>
    <col min="1" max="1" width="6" style="11" customWidth="1"/>
    <col min="2" max="2" width="6.1640625" style="15" customWidth="1"/>
    <col min="3" max="3" width="6.1640625" style="11" customWidth="1"/>
    <col min="4" max="4" width="14.83203125" style="11" customWidth="1"/>
    <col min="5" max="5" width="111.1640625" style="26" customWidth="1"/>
    <col min="6" max="6" width="33.83203125" style="11" customWidth="1"/>
    <col min="7" max="7" width="8.33203125" style="11" customWidth="1"/>
    <col min="8" max="8" width="11" style="15" customWidth="1"/>
    <col min="9" max="9" width="18.5" style="11" customWidth="1"/>
    <col min="10" max="10" width="14.1640625" style="11" customWidth="1"/>
    <col min="11" max="13" width="10.83203125" style="11"/>
    <col min="14" max="14" width="11.6640625" style="115" bestFit="1" customWidth="1"/>
    <col min="15" max="15" width="97.6640625" style="25" customWidth="1"/>
    <col min="16" max="16" width="9.33203125" style="15" customWidth="1"/>
    <col min="17" max="17" width="22" style="15" customWidth="1"/>
    <col min="18" max="18" width="12.1640625" style="11" customWidth="1"/>
    <col min="19" max="19" width="12.33203125" style="11" customWidth="1"/>
    <col min="20" max="21" width="12.6640625" style="11" customWidth="1"/>
    <col min="22" max="22" width="12.1640625" style="11" customWidth="1"/>
    <col min="23" max="23" width="12.6640625" style="11" customWidth="1"/>
    <col min="24" max="25" width="18.1640625" style="11" customWidth="1"/>
    <col min="26" max="26" width="25.5" style="11" customWidth="1"/>
    <col min="27" max="27" width="23.33203125" style="15" customWidth="1"/>
    <col min="28" max="28" width="40.33203125" style="15" customWidth="1"/>
    <col min="29" max="29" width="13.33203125" style="15" customWidth="1"/>
    <col min="30" max="30" width="22.1640625" style="141" customWidth="1"/>
    <col min="31" max="31" width="5.6640625" style="15" customWidth="1"/>
    <col min="32" max="32" width="13.6640625" style="11" customWidth="1"/>
    <col min="33" max="33" width="16.83203125" style="11" customWidth="1"/>
    <col min="34" max="36" width="9.83203125" style="11" customWidth="1"/>
    <col min="37" max="37" width="67.6640625" style="11" customWidth="1"/>
    <col min="38" max="38" width="66.6640625" style="26" customWidth="1"/>
    <col min="39" max="40" width="10.83203125" style="11"/>
    <col min="41" max="41" width="8.6640625" style="11" customWidth="1"/>
    <col min="42" max="42" width="9.1640625" style="11" customWidth="1"/>
    <col min="43" max="43" width="7.5" style="11" customWidth="1"/>
    <col min="44" max="44" width="5.6640625" style="11" customWidth="1"/>
    <col min="45" max="45" width="10.83203125" style="11"/>
    <col min="46" max="46" width="13.83203125" style="11" customWidth="1"/>
    <col min="47" max="47" width="10.83203125" style="11"/>
    <col min="48" max="48" width="143.33203125" style="26" customWidth="1"/>
    <col min="49" max="49" width="55.5" style="26" customWidth="1"/>
    <col min="50" max="50" width="95.6640625" style="26" customWidth="1"/>
    <col min="51" max="51" width="5.6640625" style="12" customWidth="1"/>
    <col min="52" max="52" width="10.83203125" style="11"/>
    <col min="53" max="53" width="60.33203125" style="11" customWidth="1"/>
    <col min="54" max="54" width="13" style="11" customWidth="1"/>
    <col min="55" max="57" width="10.83203125" style="11"/>
    <col min="58" max="58" width="218.1640625" style="26" customWidth="1"/>
    <col min="59" max="59" width="92.33203125" style="26" customWidth="1"/>
    <col min="60" max="60" width="13.83203125" style="11" customWidth="1"/>
    <col min="61" max="61" width="10.83203125" style="11"/>
    <col min="62" max="62" width="16.5" style="11" customWidth="1"/>
    <col min="63" max="66" width="10.83203125" style="11"/>
    <col min="67" max="67" width="255.6640625" style="26" customWidth="1"/>
    <col min="68" max="68" width="48.5" style="26" customWidth="1"/>
    <col min="69" max="71" width="10.83203125" style="11" customWidth="1"/>
    <col min="72" max="74" width="10.83203125" style="11"/>
    <col min="75" max="78" width="10.83203125" style="12"/>
    <col min="79" max="100" width="10.83203125" style="11"/>
    <col min="101" max="101" width="18.33203125" style="11" customWidth="1"/>
    <col min="102" max="102" width="42.1640625" style="11" customWidth="1"/>
    <col min="103" max="103" width="11.1640625" style="15" customWidth="1"/>
    <col min="104" max="104" width="37.6640625" style="136" customWidth="1"/>
    <col min="105" max="107" width="10.83203125" style="32"/>
    <col min="110" max="162" width="10.83203125" style="32"/>
    <col min="163" max="16384" width="10.83203125" style="11"/>
  </cols>
  <sheetData>
    <row r="1" spans="1:162" ht="14" customHeight="1" x14ac:dyDescent="0.15">
      <c r="A1" s="242" t="s">
        <v>400</v>
      </c>
      <c r="B1" s="242"/>
      <c r="C1" s="242"/>
      <c r="D1" s="242"/>
      <c r="E1" s="242"/>
      <c r="F1" s="242"/>
      <c r="G1" s="274" t="s">
        <v>600</v>
      </c>
      <c r="H1" s="275"/>
      <c r="I1" s="275"/>
      <c r="J1" s="275"/>
      <c r="K1" s="275"/>
      <c r="L1" s="275"/>
      <c r="M1" s="276"/>
      <c r="N1" s="108" t="s">
        <v>589</v>
      </c>
      <c r="O1" s="40" t="s">
        <v>590</v>
      </c>
      <c r="P1" s="255" t="s">
        <v>591</v>
      </c>
      <c r="Q1" s="256"/>
      <c r="R1" s="212" t="s">
        <v>592</v>
      </c>
      <c r="S1" s="212"/>
      <c r="T1" s="212"/>
      <c r="U1" s="212"/>
      <c r="V1" s="212"/>
      <c r="W1" s="212"/>
      <c r="X1" s="212"/>
      <c r="Y1" s="212"/>
      <c r="Z1" s="108" t="s">
        <v>594</v>
      </c>
      <c r="AA1" s="41" t="s">
        <v>596</v>
      </c>
      <c r="AB1" s="255" t="s">
        <v>597</v>
      </c>
      <c r="AC1" s="256"/>
      <c r="AD1" s="142" t="s">
        <v>664</v>
      </c>
      <c r="AE1" s="191" t="s">
        <v>533</v>
      </c>
      <c r="AF1" s="213" t="s">
        <v>611</v>
      </c>
      <c r="AG1" s="213"/>
      <c r="AH1" s="213"/>
      <c r="AI1" s="42"/>
      <c r="AJ1" s="42"/>
      <c r="AK1" s="144"/>
      <c r="AL1" s="120" t="s">
        <v>610</v>
      </c>
      <c r="AM1" s="213" t="s">
        <v>612</v>
      </c>
      <c r="AN1" s="213"/>
      <c r="AO1" s="213"/>
      <c r="AP1" s="213"/>
      <c r="AQ1" s="213"/>
      <c r="AR1" s="213"/>
      <c r="AS1" s="213"/>
      <c r="AT1" s="213"/>
      <c r="AU1" s="213"/>
      <c r="AV1" s="213"/>
      <c r="AW1" s="213"/>
      <c r="AX1" s="213"/>
      <c r="AY1" s="213"/>
      <c r="AZ1" s="213"/>
      <c r="BA1" s="213"/>
      <c r="BB1" s="213"/>
      <c r="BC1" s="213"/>
      <c r="BD1" s="213"/>
      <c r="BE1" s="213"/>
      <c r="BF1" s="213"/>
      <c r="BG1" s="213"/>
      <c r="BH1" s="213"/>
      <c r="BI1" s="213"/>
      <c r="BJ1" s="42"/>
      <c r="BK1" s="213" t="s">
        <v>613</v>
      </c>
      <c r="BL1" s="213"/>
      <c r="BM1" s="213"/>
      <c r="BN1" s="213"/>
      <c r="BO1" s="213"/>
      <c r="BP1" s="213"/>
      <c r="BQ1" s="245" t="s">
        <v>614</v>
      </c>
      <c r="BR1" s="246"/>
      <c r="BS1" s="246"/>
      <c r="BT1" s="246"/>
      <c r="BU1" s="246"/>
      <c r="BV1" s="246"/>
      <c r="BW1" s="246"/>
      <c r="BX1" s="246"/>
      <c r="BY1" s="246"/>
      <c r="BZ1" s="246"/>
      <c r="CA1" s="246"/>
      <c r="CB1" s="246"/>
      <c r="CC1" s="246"/>
      <c r="CD1" s="246"/>
      <c r="CE1" s="246"/>
      <c r="CF1" s="246"/>
      <c r="CG1" s="246"/>
      <c r="CH1" s="246"/>
      <c r="CI1" s="246"/>
      <c r="CJ1" s="246"/>
      <c r="CK1" s="246"/>
      <c r="CL1" s="246"/>
      <c r="CM1" s="246"/>
      <c r="CN1" s="246"/>
      <c r="CO1" s="246"/>
      <c r="CP1" s="246"/>
      <c r="CQ1" s="246"/>
      <c r="CR1" s="246"/>
      <c r="CS1" s="246"/>
      <c r="CT1" s="246"/>
      <c r="CU1" s="246"/>
      <c r="CV1" s="247"/>
      <c r="CW1" s="88"/>
      <c r="CX1" s="101" t="s">
        <v>615</v>
      </c>
      <c r="CY1" s="265" t="s">
        <v>616</v>
      </c>
      <c r="CZ1" s="266"/>
    </row>
    <row r="2" spans="1:162" s="15" customFormat="1" ht="59" customHeight="1" x14ac:dyDescent="0.15">
      <c r="A2" s="13" t="s">
        <v>407</v>
      </c>
      <c r="B2" s="13" t="s">
        <v>408</v>
      </c>
      <c r="C2" s="13" t="s">
        <v>520</v>
      </c>
      <c r="D2" s="13" t="s">
        <v>261</v>
      </c>
      <c r="E2" s="112" t="s">
        <v>173</v>
      </c>
      <c r="F2" s="13" t="s">
        <v>323</v>
      </c>
      <c r="G2" s="14" t="s">
        <v>263</v>
      </c>
      <c r="H2" s="14" t="s">
        <v>395</v>
      </c>
      <c r="I2" s="14" t="s">
        <v>369</v>
      </c>
      <c r="J2" s="14" t="s">
        <v>396</v>
      </c>
      <c r="K2" s="14" t="s">
        <v>375</v>
      </c>
      <c r="L2" s="14" t="s">
        <v>431</v>
      </c>
      <c r="M2" s="14" t="s">
        <v>418</v>
      </c>
      <c r="N2" s="113" t="s">
        <v>588</v>
      </c>
      <c r="O2" s="39"/>
      <c r="P2" s="106" t="s">
        <v>536</v>
      </c>
      <c r="Q2" s="9" t="s">
        <v>537</v>
      </c>
      <c r="R2" s="9" t="s">
        <v>264</v>
      </c>
      <c r="S2" s="9" t="s">
        <v>455</v>
      </c>
      <c r="T2" s="9" t="s">
        <v>311</v>
      </c>
      <c r="U2" s="9" t="s">
        <v>601</v>
      </c>
      <c r="V2" s="9" t="s">
        <v>265</v>
      </c>
      <c r="W2" s="9" t="s">
        <v>454</v>
      </c>
      <c r="X2" s="9" t="s">
        <v>467</v>
      </c>
      <c r="Y2" s="9" t="s">
        <v>468</v>
      </c>
      <c r="Z2" s="9"/>
      <c r="AA2" s="9" t="s">
        <v>595</v>
      </c>
      <c r="AB2" s="117" t="s">
        <v>598</v>
      </c>
      <c r="AC2" s="117" t="s">
        <v>599</v>
      </c>
      <c r="AD2" s="143"/>
      <c r="AE2" s="192"/>
      <c r="AF2" s="10" t="s">
        <v>262</v>
      </c>
      <c r="AG2" s="10" t="s">
        <v>285</v>
      </c>
      <c r="AH2" s="10" t="s">
        <v>394</v>
      </c>
      <c r="AI2" s="10" t="s">
        <v>397</v>
      </c>
      <c r="AJ2" s="10" t="s">
        <v>398</v>
      </c>
      <c r="AK2" s="145" t="s">
        <v>657</v>
      </c>
      <c r="AL2" s="31" t="s">
        <v>603</v>
      </c>
      <c r="AM2" s="10" t="s">
        <v>371</v>
      </c>
      <c r="AN2" s="10" t="s">
        <v>379</v>
      </c>
      <c r="AO2" s="10" t="s">
        <v>378</v>
      </c>
      <c r="AP2" s="10" t="s">
        <v>401</v>
      </c>
      <c r="AQ2" s="10" t="s">
        <v>402</v>
      </c>
      <c r="AR2" s="10" t="s">
        <v>403</v>
      </c>
      <c r="AS2" s="10" t="s">
        <v>437</v>
      </c>
      <c r="AT2" s="10" t="s">
        <v>439</v>
      </c>
      <c r="AU2" s="10" t="s">
        <v>312</v>
      </c>
      <c r="AV2" s="10" t="s">
        <v>486</v>
      </c>
      <c r="AW2" s="10" t="s">
        <v>487</v>
      </c>
      <c r="AX2" s="10" t="s">
        <v>509</v>
      </c>
      <c r="AY2" s="10" t="s">
        <v>344</v>
      </c>
      <c r="AZ2" s="10" t="s">
        <v>372</v>
      </c>
      <c r="BA2" s="10" t="s">
        <v>470</v>
      </c>
      <c r="BB2" s="10" t="s">
        <v>552</v>
      </c>
      <c r="BC2" s="10" t="s">
        <v>553</v>
      </c>
      <c r="BD2" s="10" t="s">
        <v>554</v>
      </c>
      <c r="BE2" s="10" t="s">
        <v>555</v>
      </c>
      <c r="BF2" s="10" t="s">
        <v>504</v>
      </c>
      <c r="BG2" s="31" t="s">
        <v>665</v>
      </c>
      <c r="BH2" s="10" t="s">
        <v>630</v>
      </c>
      <c r="BI2" s="10" t="s">
        <v>505</v>
      </c>
      <c r="BJ2" s="10" t="s">
        <v>556</v>
      </c>
      <c r="BK2" s="10" t="s">
        <v>634</v>
      </c>
      <c r="BL2" s="10" t="s">
        <v>524</v>
      </c>
      <c r="BM2" s="10" t="s">
        <v>506</v>
      </c>
      <c r="BN2" s="10" t="s">
        <v>633</v>
      </c>
      <c r="BO2" s="31" t="s">
        <v>507</v>
      </c>
      <c r="BP2" s="10" t="s">
        <v>557</v>
      </c>
      <c r="BQ2" s="85" t="s">
        <v>519</v>
      </c>
      <c r="BR2" s="86" t="s">
        <v>558</v>
      </c>
      <c r="BS2" s="86" t="s">
        <v>559</v>
      </c>
      <c r="BT2" s="86" t="s">
        <v>518</v>
      </c>
      <c r="BU2" s="86" t="s">
        <v>560</v>
      </c>
      <c r="BV2" s="86" t="s">
        <v>561</v>
      </c>
      <c r="BW2" s="86" t="s">
        <v>562</v>
      </c>
      <c r="BX2" s="86" t="s">
        <v>563</v>
      </c>
      <c r="BY2" s="85" t="s">
        <v>666</v>
      </c>
      <c r="BZ2" s="87" t="s">
        <v>667</v>
      </c>
      <c r="CA2" s="86" t="s">
        <v>564</v>
      </c>
      <c r="CB2" s="86" t="s">
        <v>565</v>
      </c>
      <c r="CC2" s="86" t="s">
        <v>579</v>
      </c>
      <c r="CD2" s="86" t="s">
        <v>568</v>
      </c>
      <c r="CE2" s="87" t="s">
        <v>569</v>
      </c>
      <c r="CF2" s="85" t="s">
        <v>578</v>
      </c>
      <c r="CG2" s="87" t="s">
        <v>319</v>
      </c>
      <c r="CH2" s="87" t="s">
        <v>577</v>
      </c>
      <c r="CI2" s="87" t="s">
        <v>570</v>
      </c>
      <c r="CJ2" s="87" t="s">
        <v>571</v>
      </c>
      <c r="CK2" s="87" t="s">
        <v>575</v>
      </c>
      <c r="CL2" s="87" t="s">
        <v>381</v>
      </c>
      <c r="CM2" s="87" t="s">
        <v>315</v>
      </c>
      <c r="CN2" s="87" t="s">
        <v>380</v>
      </c>
      <c r="CO2" s="87" t="s">
        <v>346</v>
      </c>
      <c r="CP2" s="87" t="s">
        <v>574</v>
      </c>
      <c r="CQ2" s="87" t="s">
        <v>573</v>
      </c>
      <c r="CR2" s="87" t="s">
        <v>566</v>
      </c>
      <c r="CS2" s="85" t="s">
        <v>567</v>
      </c>
      <c r="CT2" s="85" t="s">
        <v>349</v>
      </c>
      <c r="CU2" s="85" t="s">
        <v>314</v>
      </c>
      <c r="CV2" s="85" t="s">
        <v>572</v>
      </c>
      <c r="CW2" s="85" t="s">
        <v>266</v>
      </c>
      <c r="CX2" s="102" t="s">
        <v>526</v>
      </c>
      <c r="CY2" s="102" t="s">
        <v>531</v>
      </c>
      <c r="CZ2" s="133" t="s">
        <v>582</v>
      </c>
      <c r="DA2" s="137"/>
      <c r="DB2" s="33"/>
      <c r="DC2" s="33"/>
      <c r="DD2" s="33"/>
      <c r="DE2" s="33"/>
      <c r="DF2" s="33"/>
      <c r="DG2" s="33"/>
      <c r="DH2" s="33"/>
      <c r="DI2" s="33"/>
      <c r="DJ2" s="33"/>
      <c r="DK2" s="33"/>
      <c r="DL2" s="33"/>
      <c r="DM2" s="33"/>
      <c r="DN2" s="33"/>
      <c r="DO2" s="33"/>
      <c r="DP2" s="33"/>
      <c r="DQ2" s="33"/>
      <c r="DR2" s="33"/>
      <c r="DS2" s="33"/>
      <c r="DT2" s="33"/>
      <c r="DU2" s="33"/>
      <c r="DV2" s="33"/>
      <c r="DW2" s="33"/>
      <c r="DX2" s="33"/>
      <c r="DY2" s="33"/>
      <c r="DZ2" s="33"/>
      <c r="EA2" s="33"/>
      <c r="EB2" s="33"/>
      <c r="EC2" s="33"/>
      <c r="ED2" s="33"/>
      <c r="EE2" s="33"/>
      <c r="EF2" s="33"/>
      <c r="EG2" s="33"/>
      <c r="EH2" s="33"/>
      <c r="EI2" s="33"/>
      <c r="EJ2" s="33"/>
      <c r="EK2" s="33"/>
      <c r="EL2" s="33"/>
      <c r="EM2" s="33"/>
      <c r="EN2" s="33"/>
      <c r="EO2" s="33"/>
      <c r="EP2" s="33"/>
      <c r="EQ2" s="33"/>
      <c r="ER2" s="33"/>
      <c r="ES2" s="33"/>
      <c r="ET2" s="33"/>
      <c r="EU2" s="33"/>
      <c r="EV2" s="33"/>
      <c r="EW2" s="33"/>
      <c r="EX2" s="33"/>
      <c r="EY2" s="33"/>
      <c r="EZ2" s="33"/>
      <c r="FA2" s="33"/>
      <c r="FB2" s="33"/>
      <c r="FC2" s="33"/>
      <c r="FD2" s="33"/>
      <c r="FE2" s="33"/>
      <c r="FF2" s="33"/>
    </row>
    <row r="3" spans="1:162" s="60" customFormat="1" ht="14" customHeight="1" thickBot="1" x14ac:dyDescent="0.2">
      <c r="A3" s="47">
        <v>1</v>
      </c>
      <c r="B3" s="47">
        <v>1</v>
      </c>
      <c r="C3" s="47">
        <v>2022</v>
      </c>
      <c r="D3" s="48" t="s">
        <v>269</v>
      </c>
      <c r="E3" s="49" t="s">
        <v>20</v>
      </c>
      <c r="F3" s="48" t="s">
        <v>325</v>
      </c>
      <c r="G3" s="50" t="s">
        <v>268</v>
      </c>
      <c r="H3" s="50" t="s">
        <v>368</v>
      </c>
      <c r="I3" s="51" t="s">
        <v>304</v>
      </c>
      <c r="J3" s="52" t="s">
        <v>308</v>
      </c>
      <c r="K3" s="50" t="s">
        <v>374</v>
      </c>
      <c r="L3" s="50" t="s">
        <v>429</v>
      </c>
      <c r="M3" s="53"/>
      <c r="N3" s="55" t="s">
        <v>267</v>
      </c>
      <c r="O3" s="54" t="s">
        <v>284</v>
      </c>
      <c r="P3" s="55">
        <v>1000</v>
      </c>
      <c r="Q3" s="55" t="s">
        <v>538</v>
      </c>
      <c r="R3" s="55" t="s">
        <v>270</v>
      </c>
      <c r="S3" s="55" t="s">
        <v>267</v>
      </c>
      <c r="T3" s="55" t="s">
        <v>270</v>
      </c>
      <c r="U3" s="55" t="s">
        <v>270</v>
      </c>
      <c r="V3" s="55" t="s">
        <v>267</v>
      </c>
      <c r="W3" s="55" t="s">
        <v>270</v>
      </c>
      <c r="X3" s="55" t="s">
        <v>267</v>
      </c>
      <c r="Y3" s="55" t="s">
        <v>267</v>
      </c>
      <c r="Z3" s="55" t="s">
        <v>365</v>
      </c>
      <c r="AA3" s="55" t="s">
        <v>267</v>
      </c>
      <c r="AB3" s="118" t="s">
        <v>390</v>
      </c>
      <c r="AC3" s="55">
        <v>3</v>
      </c>
      <c r="AD3" s="54"/>
      <c r="AE3" s="192"/>
      <c r="AF3" s="56" t="s">
        <v>463</v>
      </c>
      <c r="AG3" s="57" t="s">
        <v>286</v>
      </c>
      <c r="AH3" s="56">
        <v>2019</v>
      </c>
      <c r="AI3" s="56">
        <v>1</v>
      </c>
      <c r="AJ3" s="56">
        <v>1</v>
      </c>
      <c r="AK3" s="146" t="s">
        <v>658</v>
      </c>
      <c r="AL3" s="72" t="s">
        <v>602</v>
      </c>
      <c r="AM3" s="56">
        <v>84</v>
      </c>
      <c r="AN3" s="56">
        <v>921</v>
      </c>
      <c r="AO3" s="56"/>
      <c r="AP3" s="56"/>
      <c r="AQ3" s="56"/>
      <c r="AR3" s="56"/>
      <c r="AS3" s="56">
        <f t="shared" ref="AS3:AS10" si="0">AN3*3.6</f>
        <v>3315.6</v>
      </c>
      <c r="AT3" s="56"/>
      <c r="AU3" s="56"/>
      <c r="AV3" s="58" t="s">
        <v>440</v>
      </c>
      <c r="AW3" s="58"/>
      <c r="AX3" s="58"/>
      <c r="AY3" s="59">
        <v>1.5</v>
      </c>
      <c r="AZ3" s="56">
        <v>1500</v>
      </c>
      <c r="BA3" s="58"/>
      <c r="BB3" s="56">
        <v>300</v>
      </c>
      <c r="BC3" s="56">
        <v>200</v>
      </c>
      <c r="BD3" s="56">
        <v>30</v>
      </c>
      <c r="BE3" s="56">
        <v>300</v>
      </c>
      <c r="BF3" s="58" t="s">
        <v>449</v>
      </c>
      <c r="BG3" s="58"/>
      <c r="BH3" s="56"/>
      <c r="BI3" s="56"/>
      <c r="BJ3" s="56" t="s">
        <v>270</v>
      </c>
      <c r="BK3" s="56"/>
      <c r="BL3" s="56">
        <v>2.8E-3</v>
      </c>
      <c r="BM3" s="56">
        <v>5</v>
      </c>
      <c r="BN3" s="56"/>
      <c r="BO3" s="58"/>
      <c r="BP3" s="58"/>
      <c r="BQ3" s="89">
        <v>3</v>
      </c>
      <c r="BR3" s="90"/>
      <c r="BS3" s="90">
        <v>3720</v>
      </c>
      <c r="BT3" s="89"/>
      <c r="BU3" s="89"/>
      <c r="BV3" s="89">
        <v>22.68</v>
      </c>
      <c r="BW3" s="89"/>
      <c r="BX3" s="89"/>
      <c r="BY3" s="89">
        <v>0.93420000000000003</v>
      </c>
      <c r="BZ3" s="89"/>
      <c r="CA3" s="89"/>
      <c r="CB3" s="89"/>
      <c r="CC3" s="89"/>
      <c r="CD3" s="121"/>
      <c r="CE3" s="89"/>
      <c r="CF3" s="89"/>
      <c r="CG3" s="89"/>
      <c r="CH3" s="89"/>
      <c r="CI3" s="89"/>
      <c r="CJ3" s="89"/>
      <c r="CK3" s="89" t="s">
        <v>576</v>
      </c>
      <c r="CL3" s="89"/>
      <c r="CM3" s="89"/>
      <c r="CN3" s="89"/>
      <c r="CO3" s="89"/>
      <c r="CP3" s="89"/>
      <c r="CQ3" s="89"/>
      <c r="CR3" s="89"/>
      <c r="CS3" s="89"/>
      <c r="CT3" s="89"/>
      <c r="CU3" s="89"/>
      <c r="CV3" s="89"/>
      <c r="CW3" s="91" t="s">
        <v>287</v>
      </c>
      <c r="CX3" s="103" t="s">
        <v>581</v>
      </c>
      <c r="CY3" s="111" t="s">
        <v>270</v>
      </c>
      <c r="CZ3" s="134"/>
      <c r="DA3" s="32"/>
      <c r="DB3" s="32"/>
      <c r="DC3" s="32"/>
      <c r="DD3" s="32"/>
      <c r="DE3" s="32"/>
      <c r="DF3" s="32"/>
      <c r="DG3" s="32"/>
      <c r="DH3" s="32"/>
      <c r="DI3" s="32"/>
      <c r="DJ3" s="32"/>
      <c r="DK3" s="32"/>
      <c r="DL3" s="32"/>
      <c r="DM3" s="32"/>
      <c r="DN3" s="32"/>
      <c r="DO3" s="32"/>
      <c r="DP3" s="32"/>
      <c r="DQ3" s="32"/>
      <c r="DR3" s="32"/>
      <c r="DS3" s="32"/>
      <c r="DT3" s="32"/>
      <c r="DU3" s="32"/>
      <c r="DV3" s="32"/>
      <c r="DW3" s="32"/>
      <c r="DX3" s="32"/>
      <c r="DY3" s="32"/>
      <c r="DZ3" s="32"/>
      <c r="EA3" s="32"/>
      <c r="EB3" s="32"/>
      <c r="EC3" s="32"/>
      <c r="ED3" s="32"/>
      <c r="EE3" s="32"/>
      <c r="EF3" s="32"/>
      <c r="EG3" s="32"/>
      <c r="EH3" s="32"/>
      <c r="EI3" s="32"/>
      <c r="EJ3" s="32"/>
      <c r="EK3" s="32"/>
      <c r="EL3" s="32"/>
      <c r="EM3" s="32"/>
      <c r="EN3" s="32"/>
      <c r="EO3" s="32"/>
      <c r="EP3" s="32"/>
      <c r="EQ3" s="32"/>
      <c r="ER3" s="32"/>
      <c r="ES3" s="32"/>
      <c r="ET3" s="32"/>
      <c r="EU3" s="32"/>
      <c r="EV3" s="32"/>
      <c r="EW3" s="32"/>
      <c r="EX3" s="32"/>
      <c r="EY3" s="32"/>
      <c r="EZ3" s="32"/>
      <c r="FA3" s="32"/>
      <c r="FB3" s="32"/>
      <c r="FC3" s="32"/>
      <c r="FD3" s="32"/>
      <c r="FE3" s="32"/>
      <c r="FF3" s="32"/>
    </row>
    <row r="4" spans="1:162" s="74" customFormat="1" ht="14" customHeight="1" thickBot="1" x14ac:dyDescent="0.2">
      <c r="A4" s="62">
        <v>2</v>
      </c>
      <c r="B4" s="62">
        <v>2</v>
      </c>
      <c r="C4" s="62">
        <v>2014</v>
      </c>
      <c r="D4" s="63" t="s">
        <v>271</v>
      </c>
      <c r="E4" s="64" t="s">
        <v>50</v>
      </c>
      <c r="F4" s="63" t="s">
        <v>237</v>
      </c>
      <c r="G4" s="65" t="s">
        <v>521</v>
      </c>
      <c r="H4" s="65" t="s">
        <v>367</v>
      </c>
      <c r="I4" s="66"/>
      <c r="J4" s="67"/>
      <c r="K4" s="65">
        <v>5.61</v>
      </c>
      <c r="L4" s="65" t="s">
        <v>430</v>
      </c>
      <c r="M4" s="65">
        <v>5</v>
      </c>
      <c r="N4" s="69" t="s">
        <v>267</v>
      </c>
      <c r="O4" s="68" t="s">
        <v>348</v>
      </c>
      <c r="P4" s="69">
        <v>1000</v>
      </c>
      <c r="Q4" s="55" t="s">
        <v>538</v>
      </c>
      <c r="R4" s="69" t="s">
        <v>267</v>
      </c>
      <c r="S4" s="69" t="s">
        <v>267</v>
      </c>
      <c r="T4" s="69" t="s">
        <v>267</v>
      </c>
      <c r="U4" s="69" t="s">
        <v>270</v>
      </c>
      <c r="V4" s="69" t="s">
        <v>270</v>
      </c>
      <c r="W4" s="69" t="s">
        <v>270</v>
      </c>
      <c r="X4" s="69" t="s">
        <v>267</v>
      </c>
      <c r="Y4" s="69" t="s">
        <v>267</v>
      </c>
      <c r="Z4" s="69" t="s">
        <v>426</v>
      </c>
      <c r="AA4" s="69" t="s">
        <v>267</v>
      </c>
      <c r="AB4" s="119" t="s">
        <v>321</v>
      </c>
      <c r="AC4" s="69">
        <v>3</v>
      </c>
      <c r="AD4" s="68" t="s">
        <v>655</v>
      </c>
      <c r="AE4" s="192"/>
      <c r="AF4" s="70" t="s">
        <v>456</v>
      </c>
      <c r="AG4" s="71" t="s">
        <v>320</v>
      </c>
      <c r="AH4" s="70">
        <v>2007</v>
      </c>
      <c r="AI4" s="70">
        <v>15</v>
      </c>
      <c r="AJ4" s="70">
        <v>15</v>
      </c>
      <c r="AK4" s="146"/>
      <c r="AL4" s="72" t="s">
        <v>293</v>
      </c>
      <c r="AM4" s="70"/>
      <c r="AN4" s="70">
        <v>0</v>
      </c>
      <c r="AO4" s="70"/>
      <c r="AP4" s="70"/>
      <c r="AQ4" s="70"/>
      <c r="AR4" s="70"/>
      <c r="AS4" s="70">
        <f t="shared" si="0"/>
        <v>0</v>
      </c>
      <c r="AT4" s="70"/>
      <c r="AU4" s="70"/>
      <c r="AV4" s="58"/>
      <c r="AW4" s="72"/>
      <c r="AX4" s="72"/>
      <c r="AY4" s="73">
        <v>12.385</v>
      </c>
      <c r="AZ4" s="70">
        <v>0</v>
      </c>
      <c r="BA4" s="72" t="s">
        <v>474</v>
      </c>
      <c r="BB4" s="162">
        <v>0</v>
      </c>
      <c r="BC4" s="163"/>
      <c r="BD4" s="163"/>
      <c r="BE4" s="163"/>
      <c r="BF4" s="163"/>
      <c r="BG4" s="163"/>
      <c r="BH4" s="163"/>
      <c r="BI4" s="163"/>
      <c r="BJ4" s="163"/>
      <c r="BK4" s="72"/>
      <c r="BL4" s="72"/>
      <c r="BM4" s="72"/>
      <c r="BN4" s="72"/>
      <c r="BO4" s="72"/>
      <c r="BP4" s="72" t="s">
        <v>476</v>
      </c>
      <c r="BQ4" s="92">
        <v>3</v>
      </c>
      <c r="BR4" s="93">
        <v>3600</v>
      </c>
      <c r="BS4" s="93">
        <v>2300</v>
      </c>
      <c r="BT4" s="92"/>
      <c r="BU4" s="92"/>
      <c r="BV4" s="92"/>
      <c r="BW4" s="92">
        <v>158</v>
      </c>
      <c r="BX4" s="92">
        <v>90</v>
      </c>
      <c r="BY4" s="92"/>
      <c r="BZ4" s="92"/>
      <c r="CA4" s="92"/>
      <c r="CB4" s="92"/>
      <c r="CC4" s="92"/>
      <c r="CD4" s="122"/>
      <c r="CE4" s="92"/>
      <c r="CF4" s="92"/>
      <c r="CG4" s="92"/>
      <c r="CH4" s="92"/>
      <c r="CI4" s="92"/>
      <c r="CJ4" s="92"/>
      <c r="CK4" s="92"/>
      <c r="CL4" s="92"/>
      <c r="CM4" s="92"/>
      <c r="CN4" s="92"/>
      <c r="CO4" s="92" t="s">
        <v>347</v>
      </c>
      <c r="CP4" s="92"/>
      <c r="CQ4" s="92"/>
      <c r="CR4" s="92"/>
      <c r="CS4" s="92"/>
      <c r="CT4" s="92"/>
      <c r="CU4" s="92"/>
      <c r="CV4" s="92"/>
      <c r="CW4" s="94" t="s">
        <v>322</v>
      </c>
      <c r="CX4" s="104"/>
      <c r="CY4" s="105" t="s">
        <v>270</v>
      </c>
      <c r="CZ4" s="135"/>
      <c r="DA4" s="32"/>
      <c r="DB4" s="32"/>
      <c r="DC4" s="32"/>
      <c r="DD4" s="32"/>
      <c r="DE4" s="32"/>
      <c r="DF4" s="32"/>
      <c r="DG4" s="32"/>
      <c r="DH4" s="32"/>
      <c r="DI4" s="32"/>
      <c r="DJ4" s="32"/>
      <c r="DK4" s="32"/>
      <c r="DL4" s="32"/>
      <c r="DM4" s="32"/>
      <c r="DN4" s="32"/>
      <c r="DO4" s="32"/>
      <c r="DP4" s="32"/>
      <c r="DQ4" s="32"/>
      <c r="DR4" s="32"/>
      <c r="DS4" s="32"/>
      <c r="DT4" s="32"/>
      <c r="DU4" s="32"/>
      <c r="DV4" s="32"/>
      <c r="DW4" s="32"/>
      <c r="DX4" s="32"/>
      <c r="DY4" s="32"/>
      <c r="DZ4" s="32"/>
      <c r="EA4" s="32"/>
      <c r="EB4" s="32"/>
      <c r="EC4" s="32"/>
      <c r="ED4" s="32"/>
      <c r="EE4" s="32"/>
      <c r="EF4" s="32"/>
      <c r="EG4" s="32"/>
      <c r="EH4" s="32"/>
      <c r="EI4" s="32"/>
      <c r="EJ4" s="32"/>
      <c r="EK4" s="32"/>
      <c r="EL4" s="32"/>
      <c r="EM4" s="32"/>
      <c r="EN4" s="32"/>
      <c r="EO4" s="32"/>
      <c r="EP4" s="32"/>
      <c r="EQ4" s="32"/>
      <c r="ER4" s="32"/>
      <c r="ES4" s="32"/>
      <c r="ET4" s="32"/>
      <c r="EU4" s="32"/>
      <c r="EV4" s="32"/>
      <c r="EW4" s="32"/>
      <c r="EX4" s="32"/>
      <c r="EY4" s="32"/>
      <c r="EZ4" s="32"/>
      <c r="FA4" s="32"/>
      <c r="FB4" s="32"/>
      <c r="FC4" s="32"/>
      <c r="FD4" s="32"/>
      <c r="FE4" s="32"/>
      <c r="FF4" s="32"/>
    </row>
    <row r="5" spans="1:162" s="46" customFormat="1" ht="14" customHeight="1" x14ac:dyDescent="0.15">
      <c r="A5" s="228">
        <v>3</v>
      </c>
      <c r="B5" s="76">
        <v>3</v>
      </c>
      <c r="C5" s="228">
        <v>2018</v>
      </c>
      <c r="D5" s="210" t="s">
        <v>421</v>
      </c>
      <c r="E5" s="232" t="s">
        <v>94</v>
      </c>
      <c r="F5" s="210" t="s">
        <v>324</v>
      </c>
      <c r="G5" s="200" t="s">
        <v>268</v>
      </c>
      <c r="H5" s="200" t="s">
        <v>368</v>
      </c>
      <c r="I5" s="78"/>
      <c r="J5" s="79" t="s">
        <v>406</v>
      </c>
      <c r="K5" s="77">
        <v>15.5</v>
      </c>
      <c r="L5" s="77" t="s">
        <v>432</v>
      </c>
      <c r="M5" s="77">
        <v>83.5</v>
      </c>
      <c r="N5" s="186" t="s">
        <v>267</v>
      </c>
      <c r="O5" s="243" t="s">
        <v>464</v>
      </c>
      <c r="P5" s="173">
        <v>1</v>
      </c>
      <c r="Q5" s="173" t="s">
        <v>538</v>
      </c>
      <c r="R5" s="173" t="s">
        <v>267</v>
      </c>
      <c r="S5" s="173" t="s">
        <v>267</v>
      </c>
      <c r="T5" s="173" t="s">
        <v>267</v>
      </c>
      <c r="U5" s="186" t="s">
        <v>270</v>
      </c>
      <c r="V5" s="173" t="s">
        <v>270</v>
      </c>
      <c r="W5" s="186" t="s">
        <v>270</v>
      </c>
      <c r="X5" s="188" t="s">
        <v>267</v>
      </c>
      <c r="Y5" s="188" t="s">
        <v>270</v>
      </c>
      <c r="Z5" s="188"/>
      <c r="AA5" s="173" t="s">
        <v>267</v>
      </c>
      <c r="AB5" s="277" t="s">
        <v>289</v>
      </c>
      <c r="AC5" s="173">
        <v>1</v>
      </c>
      <c r="AD5" s="138"/>
      <c r="AE5" s="192"/>
      <c r="AF5" s="211" t="s">
        <v>458</v>
      </c>
      <c r="AG5" s="61" t="s">
        <v>422</v>
      </c>
      <c r="AH5" s="156">
        <v>2012</v>
      </c>
      <c r="AI5" s="156">
        <v>2</v>
      </c>
      <c r="AJ5" s="80">
        <v>1</v>
      </c>
      <c r="AK5" s="147"/>
      <c r="AL5" s="190" t="s">
        <v>503</v>
      </c>
      <c r="AM5" s="27"/>
      <c r="AN5" s="27"/>
      <c r="AO5" s="27"/>
      <c r="AP5" s="27"/>
      <c r="AQ5" s="27"/>
      <c r="AR5" s="27"/>
      <c r="AS5" s="27"/>
      <c r="AT5" s="27"/>
      <c r="AU5" s="27"/>
      <c r="AV5" s="38"/>
      <c r="AW5" s="38"/>
      <c r="AX5" s="38"/>
      <c r="AY5" s="45">
        <v>1.45</v>
      </c>
      <c r="AZ5" s="27">
        <v>1450</v>
      </c>
      <c r="BA5" s="38"/>
      <c r="BB5" s="253" t="s">
        <v>469</v>
      </c>
      <c r="BC5" s="253"/>
      <c r="BD5" s="253"/>
      <c r="BE5" s="253"/>
      <c r="BF5" s="253"/>
      <c r="BG5" s="253"/>
      <c r="BH5" s="253"/>
      <c r="BI5" s="253"/>
      <c r="BJ5" s="156" t="s">
        <v>270</v>
      </c>
      <c r="BK5" s="27"/>
      <c r="BL5" s="27"/>
      <c r="BM5" s="27"/>
      <c r="BN5" s="27"/>
      <c r="BO5" s="38"/>
      <c r="BP5" s="38"/>
      <c r="BQ5" s="264">
        <v>1</v>
      </c>
      <c r="BR5" s="95"/>
      <c r="BS5" s="95"/>
      <c r="BT5" s="96">
        <f>1.0042*1000</f>
        <v>1004.1999999999999</v>
      </c>
      <c r="BU5" s="96"/>
      <c r="BV5" s="96"/>
      <c r="BW5" s="96"/>
      <c r="BX5" s="96"/>
      <c r="BY5" s="96"/>
      <c r="BZ5" s="96"/>
      <c r="CA5" s="96"/>
      <c r="CB5" s="96"/>
      <c r="CC5" s="96"/>
      <c r="CD5" s="123"/>
      <c r="CE5" s="96"/>
      <c r="CF5" s="96"/>
      <c r="CG5" s="96"/>
      <c r="CH5" s="96"/>
      <c r="CI5" s="96"/>
      <c r="CJ5" s="96"/>
      <c r="CK5" s="96"/>
      <c r="CL5" s="96"/>
      <c r="CM5" s="96"/>
      <c r="CN5" s="96"/>
      <c r="CO5" s="96"/>
      <c r="CP5" s="96"/>
      <c r="CQ5" s="96"/>
      <c r="CR5" s="96"/>
      <c r="CS5" s="96"/>
      <c r="CT5" s="96"/>
      <c r="CU5" s="96"/>
      <c r="CV5" s="96"/>
      <c r="CW5" s="175" t="s">
        <v>288</v>
      </c>
      <c r="CX5" s="233"/>
      <c r="CY5" s="233" t="s">
        <v>270</v>
      </c>
      <c r="CZ5" s="261"/>
      <c r="DA5" s="32"/>
      <c r="DB5" s="32"/>
      <c r="DC5" s="32"/>
      <c r="DD5" s="32"/>
      <c r="DE5" s="32"/>
      <c r="DF5" s="32"/>
      <c r="DG5" s="32"/>
      <c r="DH5" s="32"/>
      <c r="DI5" s="32"/>
      <c r="DJ5" s="32"/>
      <c r="DK5" s="32"/>
      <c r="DL5" s="32"/>
      <c r="DM5" s="32"/>
      <c r="DN5" s="32"/>
      <c r="DO5" s="32"/>
      <c r="DP5" s="32"/>
      <c r="DQ5" s="32"/>
      <c r="DR5" s="32"/>
      <c r="DS5" s="32"/>
      <c r="DT5" s="32"/>
      <c r="DU5" s="32"/>
      <c r="DV5" s="32"/>
      <c r="DW5" s="32"/>
      <c r="DX5" s="32"/>
      <c r="DY5" s="32"/>
      <c r="DZ5" s="32"/>
      <c r="EA5" s="32"/>
      <c r="EB5" s="32"/>
      <c r="EC5" s="32"/>
      <c r="ED5" s="32"/>
      <c r="EE5" s="32"/>
      <c r="EF5" s="32"/>
      <c r="EG5" s="32"/>
      <c r="EH5" s="32"/>
      <c r="EI5" s="32"/>
      <c r="EJ5" s="32"/>
      <c r="EK5" s="32"/>
      <c r="EL5" s="32"/>
      <c r="EM5" s="32"/>
      <c r="EN5" s="32"/>
      <c r="EO5" s="32"/>
      <c r="EP5" s="32"/>
      <c r="EQ5" s="32"/>
      <c r="ER5" s="32"/>
      <c r="ES5" s="32"/>
      <c r="ET5" s="32"/>
      <c r="EU5" s="32"/>
      <c r="EV5" s="32"/>
      <c r="EW5" s="32"/>
      <c r="EX5" s="32"/>
      <c r="EY5" s="32"/>
      <c r="EZ5" s="32"/>
      <c r="FA5" s="32"/>
      <c r="FB5" s="32"/>
      <c r="FC5" s="32"/>
      <c r="FD5" s="32"/>
      <c r="FE5" s="32"/>
      <c r="FF5" s="32"/>
    </row>
    <row r="6" spans="1:162" s="60" customFormat="1" ht="14" customHeight="1" thickBot="1" x14ac:dyDescent="0.2">
      <c r="A6" s="227"/>
      <c r="B6" s="47">
        <v>4</v>
      </c>
      <c r="C6" s="227"/>
      <c r="D6" s="209"/>
      <c r="E6" s="231"/>
      <c r="F6" s="209"/>
      <c r="G6" s="202"/>
      <c r="H6" s="202"/>
      <c r="I6" s="51" t="s">
        <v>304</v>
      </c>
      <c r="J6" s="52" t="s">
        <v>424</v>
      </c>
      <c r="K6" s="50">
        <v>184</v>
      </c>
      <c r="L6" s="50" t="s">
        <v>433</v>
      </c>
      <c r="M6" s="50">
        <v>76.900000000000006</v>
      </c>
      <c r="N6" s="187"/>
      <c r="O6" s="244"/>
      <c r="P6" s="174"/>
      <c r="Q6" s="174"/>
      <c r="R6" s="174"/>
      <c r="S6" s="174"/>
      <c r="T6" s="174"/>
      <c r="U6" s="187"/>
      <c r="V6" s="174"/>
      <c r="W6" s="187"/>
      <c r="X6" s="189"/>
      <c r="Y6" s="189"/>
      <c r="Z6" s="189"/>
      <c r="AA6" s="174"/>
      <c r="AB6" s="278"/>
      <c r="AC6" s="174"/>
      <c r="AD6" s="68"/>
      <c r="AE6" s="192"/>
      <c r="AF6" s="185"/>
      <c r="AG6" s="75" t="s">
        <v>423</v>
      </c>
      <c r="AH6" s="157"/>
      <c r="AI6" s="157"/>
      <c r="AJ6" s="56">
        <v>1</v>
      </c>
      <c r="AK6" s="146"/>
      <c r="AL6" s="169"/>
      <c r="AM6" s="56"/>
      <c r="AN6" s="56"/>
      <c r="AO6" s="56"/>
      <c r="AP6" s="56"/>
      <c r="AQ6" s="56"/>
      <c r="AR6" s="56"/>
      <c r="AS6" s="56"/>
      <c r="AT6" s="56"/>
      <c r="AU6" s="56"/>
      <c r="AV6" s="58"/>
      <c r="AW6" s="58"/>
      <c r="AX6" s="58"/>
      <c r="AY6" s="59">
        <v>1.5</v>
      </c>
      <c r="AZ6" s="56">
        <v>1500</v>
      </c>
      <c r="BA6" s="58"/>
      <c r="BB6" s="254"/>
      <c r="BC6" s="254"/>
      <c r="BD6" s="254"/>
      <c r="BE6" s="254"/>
      <c r="BF6" s="254"/>
      <c r="BG6" s="254"/>
      <c r="BH6" s="254"/>
      <c r="BI6" s="254"/>
      <c r="BJ6" s="157"/>
      <c r="BK6" s="56"/>
      <c r="BL6" s="56"/>
      <c r="BM6" s="56"/>
      <c r="BN6" s="56"/>
      <c r="BO6" s="58"/>
      <c r="BP6" s="58"/>
      <c r="BQ6" s="241"/>
      <c r="BR6" s="90"/>
      <c r="BS6" s="90"/>
      <c r="BT6" s="89">
        <f>47.9967*1000</f>
        <v>47996.7</v>
      </c>
      <c r="BU6" s="89"/>
      <c r="BV6" s="89"/>
      <c r="BW6" s="89"/>
      <c r="BX6" s="89"/>
      <c r="BY6" s="89"/>
      <c r="BZ6" s="89"/>
      <c r="CA6" s="89"/>
      <c r="CB6" s="89"/>
      <c r="CC6" s="89"/>
      <c r="CD6" s="121"/>
      <c r="CE6" s="89"/>
      <c r="CF6" s="89"/>
      <c r="CG6" s="89"/>
      <c r="CH6" s="89"/>
      <c r="CI6" s="89"/>
      <c r="CJ6" s="89"/>
      <c r="CK6" s="89"/>
      <c r="CL6" s="89"/>
      <c r="CM6" s="89"/>
      <c r="CN6" s="89"/>
      <c r="CO6" s="89"/>
      <c r="CP6" s="89"/>
      <c r="CQ6" s="89"/>
      <c r="CR6" s="89"/>
      <c r="CS6" s="89"/>
      <c r="CT6" s="89"/>
      <c r="CU6" s="89"/>
      <c r="CV6" s="89"/>
      <c r="CW6" s="176"/>
      <c r="CX6" s="234"/>
      <c r="CY6" s="234"/>
      <c r="CZ6" s="238"/>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c r="EF6" s="32"/>
      <c r="EG6" s="32"/>
      <c r="EH6" s="32"/>
      <c r="EI6" s="32"/>
      <c r="EJ6" s="32"/>
      <c r="EK6" s="32"/>
      <c r="EL6" s="32"/>
      <c r="EM6" s="32"/>
      <c r="EN6" s="32"/>
      <c r="EO6" s="32"/>
      <c r="EP6" s="32"/>
      <c r="EQ6" s="32"/>
      <c r="ER6" s="32"/>
      <c r="ES6" s="32"/>
      <c r="ET6" s="32"/>
      <c r="EU6" s="32"/>
      <c r="EV6" s="32"/>
      <c r="EW6" s="32"/>
      <c r="EX6" s="32"/>
      <c r="EY6" s="32"/>
      <c r="EZ6" s="32"/>
      <c r="FA6" s="32"/>
      <c r="FB6" s="32"/>
      <c r="FC6" s="32"/>
      <c r="FD6" s="32"/>
      <c r="FE6" s="32"/>
      <c r="FF6" s="32"/>
    </row>
    <row r="7" spans="1:162" s="46" customFormat="1" ht="14" customHeight="1" x14ac:dyDescent="0.15">
      <c r="A7" s="228">
        <v>4</v>
      </c>
      <c r="B7" s="76">
        <v>5</v>
      </c>
      <c r="C7" s="228">
        <v>2011</v>
      </c>
      <c r="D7" s="210" t="s">
        <v>316</v>
      </c>
      <c r="E7" s="232" t="s">
        <v>246</v>
      </c>
      <c r="F7" s="210" t="s">
        <v>326</v>
      </c>
      <c r="G7" s="200" t="s">
        <v>268</v>
      </c>
      <c r="H7" s="200" t="s">
        <v>368</v>
      </c>
      <c r="I7" s="78"/>
      <c r="J7" s="79" t="s">
        <v>406</v>
      </c>
      <c r="K7" s="29" t="s">
        <v>412</v>
      </c>
      <c r="L7" s="200" t="s">
        <v>434</v>
      </c>
      <c r="M7" s="29" t="s">
        <v>436</v>
      </c>
      <c r="N7" s="186" t="s">
        <v>267</v>
      </c>
      <c r="O7" s="243" t="s">
        <v>291</v>
      </c>
      <c r="P7" s="186">
        <v>1000</v>
      </c>
      <c r="Q7" s="186" t="s">
        <v>538</v>
      </c>
      <c r="R7" s="186" t="s">
        <v>267</v>
      </c>
      <c r="S7" s="186" t="s">
        <v>267</v>
      </c>
      <c r="T7" s="186" t="s">
        <v>267</v>
      </c>
      <c r="U7" s="186" t="s">
        <v>270</v>
      </c>
      <c r="V7" s="186" t="s">
        <v>267</v>
      </c>
      <c r="W7" s="186" t="s">
        <v>270</v>
      </c>
      <c r="X7" s="186" t="s">
        <v>267</v>
      </c>
      <c r="Y7" s="186" t="s">
        <v>267</v>
      </c>
      <c r="Z7" s="186" t="s">
        <v>399</v>
      </c>
      <c r="AA7" s="186" t="s">
        <v>267</v>
      </c>
      <c r="AB7" s="277" t="s">
        <v>525</v>
      </c>
      <c r="AC7" s="196">
        <v>4</v>
      </c>
      <c r="AD7" s="159"/>
      <c r="AE7" s="192"/>
      <c r="AF7" s="164" t="s">
        <v>459</v>
      </c>
      <c r="AG7" s="217" t="s">
        <v>290</v>
      </c>
      <c r="AH7" s="165">
        <v>2008</v>
      </c>
      <c r="AI7" s="156">
        <v>18</v>
      </c>
      <c r="AJ7" s="27"/>
      <c r="AK7" s="269" t="s">
        <v>659</v>
      </c>
      <c r="AL7" s="171" t="s">
        <v>604</v>
      </c>
      <c r="AM7" s="27"/>
      <c r="AN7" s="27">
        <v>548</v>
      </c>
      <c r="AO7" s="27"/>
      <c r="AP7" s="27"/>
      <c r="AQ7" s="27"/>
      <c r="AR7" s="27"/>
      <c r="AS7" s="27">
        <f t="shared" si="0"/>
        <v>1972.8</v>
      </c>
      <c r="AT7" s="184" t="s">
        <v>542</v>
      </c>
      <c r="AU7" s="27">
        <v>191000</v>
      </c>
      <c r="AV7" s="38" t="s">
        <v>489</v>
      </c>
      <c r="AW7" s="38" t="s">
        <v>490</v>
      </c>
      <c r="AX7" s="38"/>
      <c r="AY7" s="45">
        <v>0.97</v>
      </c>
      <c r="AZ7" s="27">
        <v>970</v>
      </c>
      <c r="BA7" s="38"/>
      <c r="BB7" s="211">
        <v>422</v>
      </c>
      <c r="BC7" s="211">
        <v>110</v>
      </c>
      <c r="BD7" s="211">
        <v>28</v>
      </c>
      <c r="BE7" s="211">
        <v>240</v>
      </c>
      <c r="BF7" s="170" t="s">
        <v>450</v>
      </c>
      <c r="BG7" s="190" t="s">
        <v>620</v>
      </c>
      <c r="BH7" s="158">
        <v>750</v>
      </c>
      <c r="BI7" s="156"/>
      <c r="BJ7" s="158" t="s">
        <v>267</v>
      </c>
      <c r="BK7" s="27"/>
      <c r="BL7" s="27">
        <v>66</v>
      </c>
      <c r="BM7" s="27">
        <v>3.5</v>
      </c>
      <c r="BN7" s="27"/>
      <c r="BO7" s="38"/>
      <c r="BP7" s="38"/>
      <c r="BQ7" s="240">
        <v>4</v>
      </c>
      <c r="BR7" s="95">
        <v>2750</v>
      </c>
      <c r="BS7" s="95"/>
      <c r="BT7" s="96"/>
      <c r="BU7" s="96">
        <v>19.399999999999999</v>
      </c>
      <c r="BV7" s="96"/>
      <c r="BW7" s="96">
        <v>32.299999999999997</v>
      </c>
      <c r="BX7" s="96"/>
      <c r="BY7" s="96"/>
      <c r="BZ7" s="96"/>
      <c r="CA7" s="96"/>
      <c r="CB7" s="96"/>
      <c r="CC7" s="96"/>
      <c r="CD7" s="123"/>
      <c r="CE7" s="96"/>
      <c r="CF7" s="96"/>
      <c r="CG7" s="96"/>
      <c r="CH7" s="96"/>
      <c r="CI7" s="96"/>
      <c r="CJ7" s="96"/>
      <c r="CK7" s="96"/>
      <c r="CL7" s="96"/>
      <c r="CM7" s="96">
        <v>36800</v>
      </c>
      <c r="CN7" s="96"/>
      <c r="CO7" s="96"/>
      <c r="CP7" s="96"/>
      <c r="CQ7" s="96"/>
      <c r="CR7" s="96"/>
      <c r="CS7" s="96"/>
      <c r="CT7" s="96"/>
      <c r="CU7" s="96">
        <v>34200</v>
      </c>
      <c r="CV7" s="96"/>
      <c r="CW7" s="175" t="s">
        <v>292</v>
      </c>
      <c r="CX7" s="233" t="s">
        <v>528</v>
      </c>
      <c r="CY7" s="233" t="s">
        <v>267</v>
      </c>
      <c r="CZ7" s="236">
        <v>0.95</v>
      </c>
      <c r="DA7"/>
      <c r="DB7" s="32"/>
      <c r="DC7" s="32"/>
      <c r="DD7" s="32"/>
      <c r="DE7" s="32"/>
      <c r="DF7" s="32"/>
      <c r="DG7" s="32"/>
      <c r="DH7" s="32"/>
      <c r="DI7" s="32"/>
      <c r="DJ7" s="32"/>
      <c r="DK7" s="32"/>
      <c r="DL7" s="32"/>
      <c r="DM7" s="32"/>
      <c r="DN7" s="32"/>
      <c r="DO7" s="32"/>
      <c r="DP7" s="32"/>
      <c r="DQ7" s="32"/>
      <c r="DR7" s="32"/>
      <c r="DS7" s="32"/>
      <c r="DT7" s="32"/>
      <c r="DU7" s="32"/>
      <c r="DV7" s="32"/>
      <c r="DW7" s="32"/>
      <c r="DX7" s="32"/>
      <c r="DY7" s="32"/>
      <c r="DZ7" s="32"/>
      <c r="EA7" s="32"/>
      <c r="EB7" s="32"/>
      <c r="EC7" s="32"/>
      <c r="ED7" s="32"/>
      <c r="EE7" s="32"/>
      <c r="EF7" s="32"/>
      <c r="EG7" s="32"/>
      <c r="EH7" s="32"/>
      <c r="EI7" s="32"/>
      <c r="EJ7" s="32"/>
      <c r="EK7" s="32"/>
      <c r="EL7" s="32"/>
      <c r="EM7" s="32"/>
      <c r="EN7" s="32"/>
      <c r="EO7" s="32"/>
      <c r="EP7" s="32"/>
      <c r="EQ7" s="32"/>
      <c r="ER7" s="32"/>
      <c r="ES7" s="32"/>
      <c r="ET7" s="32"/>
      <c r="EU7" s="32"/>
      <c r="EV7" s="32"/>
      <c r="EW7" s="32"/>
      <c r="EX7" s="32"/>
      <c r="EY7" s="32"/>
      <c r="EZ7" s="32"/>
      <c r="FA7" s="32"/>
      <c r="FB7" s="32"/>
      <c r="FC7" s="32"/>
      <c r="FD7" s="32"/>
      <c r="FE7" s="32"/>
      <c r="FF7" s="32"/>
    </row>
    <row r="8" spans="1:162" s="60" customFormat="1" ht="14" customHeight="1" thickBot="1" x14ac:dyDescent="0.2">
      <c r="A8" s="227"/>
      <c r="B8" s="47">
        <v>6</v>
      </c>
      <c r="C8" s="227"/>
      <c r="D8" s="209"/>
      <c r="E8" s="231"/>
      <c r="F8" s="209"/>
      <c r="G8" s="202"/>
      <c r="H8" s="202"/>
      <c r="I8" s="51"/>
      <c r="J8" s="52" t="s">
        <v>308</v>
      </c>
      <c r="K8" s="50" t="s">
        <v>413</v>
      </c>
      <c r="L8" s="202"/>
      <c r="M8" s="50" t="s">
        <v>412</v>
      </c>
      <c r="N8" s="187"/>
      <c r="O8" s="244"/>
      <c r="P8" s="187"/>
      <c r="Q8" s="187"/>
      <c r="R8" s="187"/>
      <c r="S8" s="187"/>
      <c r="T8" s="187"/>
      <c r="U8" s="187"/>
      <c r="V8" s="187"/>
      <c r="W8" s="187"/>
      <c r="X8" s="187"/>
      <c r="Y8" s="187"/>
      <c r="Z8" s="187"/>
      <c r="AA8" s="187"/>
      <c r="AB8" s="278"/>
      <c r="AC8" s="174"/>
      <c r="AD8" s="160"/>
      <c r="AE8" s="192"/>
      <c r="AF8" s="185"/>
      <c r="AG8" s="215"/>
      <c r="AH8" s="157"/>
      <c r="AI8" s="157"/>
      <c r="AJ8" s="56"/>
      <c r="AK8" s="270"/>
      <c r="AL8" s="172"/>
      <c r="AM8" s="56"/>
      <c r="AN8" s="56">
        <v>2550</v>
      </c>
      <c r="AO8" s="56"/>
      <c r="AP8" s="56"/>
      <c r="AQ8" s="56"/>
      <c r="AR8" s="56"/>
      <c r="AS8" s="56">
        <f t="shared" si="0"/>
        <v>9180</v>
      </c>
      <c r="AT8" s="185"/>
      <c r="AU8" s="56">
        <v>215000</v>
      </c>
      <c r="AV8" s="58" t="s">
        <v>488</v>
      </c>
      <c r="AW8" s="58"/>
      <c r="AX8" s="58"/>
      <c r="AY8" s="59">
        <v>1.6</v>
      </c>
      <c r="AZ8" s="56">
        <v>1600</v>
      </c>
      <c r="BA8" s="58"/>
      <c r="BB8" s="185"/>
      <c r="BC8" s="185"/>
      <c r="BD8" s="185"/>
      <c r="BE8" s="185"/>
      <c r="BF8" s="172"/>
      <c r="BG8" s="169"/>
      <c r="BH8" s="157"/>
      <c r="BI8" s="157"/>
      <c r="BJ8" s="157"/>
      <c r="BK8" s="56"/>
      <c r="BL8" s="56">
        <v>38</v>
      </c>
      <c r="BM8" s="56">
        <v>9</v>
      </c>
      <c r="BN8" s="56"/>
      <c r="BO8" s="58"/>
      <c r="BP8" s="58"/>
      <c r="BQ8" s="241"/>
      <c r="BR8" s="90">
        <v>5280</v>
      </c>
      <c r="BS8" s="90"/>
      <c r="BT8" s="89"/>
      <c r="BU8" s="89">
        <v>43.9</v>
      </c>
      <c r="BV8" s="89"/>
      <c r="BW8" s="89">
        <v>63</v>
      </c>
      <c r="BX8" s="89"/>
      <c r="BY8" s="89"/>
      <c r="BZ8" s="89"/>
      <c r="CA8" s="89"/>
      <c r="CB8" s="89"/>
      <c r="CC8" s="89"/>
      <c r="CD8" s="121"/>
      <c r="CE8" s="89"/>
      <c r="CF8" s="89"/>
      <c r="CG8" s="89"/>
      <c r="CH8" s="89"/>
      <c r="CI8" s="89"/>
      <c r="CJ8" s="89"/>
      <c r="CK8" s="89"/>
      <c r="CL8" s="89"/>
      <c r="CM8" s="89">
        <v>60700</v>
      </c>
      <c r="CN8" s="89"/>
      <c r="CO8" s="89"/>
      <c r="CP8" s="89"/>
      <c r="CQ8" s="89"/>
      <c r="CR8" s="89"/>
      <c r="CS8" s="89"/>
      <c r="CT8" s="89"/>
      <c r="CU8" s="89">
        <v>61500</v>
      </c>
      <c r="CV8" s="89"/>
      <c r="CW8" s="176"/>
      <c r="CX8" s="234"/>
      <c r="CY8" s="234"/>
      <c r="CZ8" s="238"/>
      <c r="DA8" s="32"/>
      <c r="DB8" s="32"/>
      <c r="DC8" s="32"/>
      <c r="DD8" s="32"/>
      <c r="DE8" s="32"/>
      <c r="DF8" s="32"/>
      <c r="DG8" s="32"/>
      <c r="DH8" s="32"/>
      <c r="DI8" s="32"/>
      <c r="DJ8" s="32"/>
      <c r="DK8" s="32"/>
      <c r="DL8" s="32"/>
      <c r="DM8" s="32"/>
      <c r="DN8" s="32"/>
      <c r="DO8" s="32"/>
      <c r="DP8" s="32"/>
      <c r="DQ8" s="32"/>
      <c r="DR8" s="32"/>
      <c r="DS8" s="32"/>
      <c r="DT8" s="32"/>
      <c r="DU8" s="32"/>
      <c r="DV8" s="32"/>
      <c r="DW8" s="32"/>
      <c r="DX8" s="32"/>
      <c r="DY8" s="32"/>
      <c r="DZ8" s="32"/>
      <c r="EA8" s="32"/>
      <c r="EB8" s="32"/>
      <c r="EC8" s="32"/>
      <c r="ED8" s="32"/>
      <c r="EE8" s="32"/>
      <c r="EF8" s="32"/>
      <c r="EG8" s="32"/>
      <c r="EH8" s="32"/>
      <c r="EI8" s="32"/>
      <c r="EJ8" s="32"/>
      <c r="EK8" s="32"/>
      <c r="EL8" s="32"/>
      <c r="EM8" s="32"/>
      <c r="EN8" s="32"/>
      <c r="EO8" s="32"/>
      <c r="EP8" s="32"/>
      <c r="EQ8" s="32"/>
      <c r="ER8" s="32"/>
      <c r="ES8" s="32"/>
      <c r="ET8" s="32"/>
      <c r="EU8" s="32"/>
      <c r="EV8" s="32"/>
      <c r="EW8" s="32"/>
      <c r="EX8" s="32"/>
      <c r="EY8" s="32"/>
      <c r="EZ8" s="32"/>
      <c r="FA8" s="32"/>
      <c r="FB8" s="32"/>
      <c r="FC8" s="32"/>
      <c r="FD8" s="32"/>
      <c r="FE8" s="32"/>
      <c r="FF8" s="32"/>
    </row>
    <row r="9" spans="1:162" s="74" customFormat="1" ht="14" customHeight="1" thickBot="1" x14ac:dyDescent="0.2">
      <c r="A9" s="62">
        <v>5</v>
      </c>
      <c r="B9" s="62">
        <v>7</v>
      </c>
      <c r="C9" s="62">
        <v>2017</v>
      </c>
      <c r="D9" s="63" t="s">
        <v>272</v>
      </c>
      <c r="E9" s="64" t="s">
        <v>393</v>
      </c>
      <c r="F9" s="63" t="s">
        <v>327</v>
      </c>
      <c r="G9" s="65" t="s">
        <v>268</v>
      </c>
      <c r="H9" s="65" t="s">
        <v>368</v>
      </c>
      <c r="I9" s="66" t="s">
        <v>370</v>
      </c>
      <c r="J9" s="67"/>
      <c r="K9" s="65">
        <v>52</v>
      </c>
      <c r="L9" s="65" t="s">
        <v>438</v>
      </c>
      <c r="M9" s="65"/>
      <c r="N9" s="69" t="s">
        <v>417</v>
      </c>
      <c r="O9" s="68" t="s">
        <v>416</v>
      </c>
      <c r="P9" s="69">
        <v>1</v>
      </c>
      <c r="Q9" s="55" t="s">
        <v>538</v>
      </c>
      <c r="R9" s="69" t="s">
        <v>270</v>
      </c>
      <c r="S9" s="69" t="s">
        <v>267</v>
      </c>
      <c r="T9" s="69" t="s">
        <v>270</v>
      </c>
      <c r="U9" s="69" t="s">
        <v>270</v>
      </c>
      <c r="V9" s="69" t="s">
        <v>270</v>
      </c>
      <c r="W9" s="69" t="s">
        <v>267</v>
      </c>
      <c r="X9" s="69" t="s">
        <v>270</v>
      </c>
      <c r="Y9" s="69" t="s">
        <v>270</v>
      </c>
      <c r="Z9" s="69"/>
      <c r="AA9" s="69" t="s">
        <v>267</v>
      </c>
      <c r="AB9" s="119" t="s">
        <v>391</v>
      </c>
      <c r="AC9" s="69">
        <v>1</v>
      </c>
      <c r="AD9" s="68"/>
      <c r="AE9" s="192"/>
      <c r="AF9" s="70" t="s">
        <v>465</v>
      </c>
      <c r="AG9" s="71" t="s">
        <v>313</v>
      </c>
      <c r="AH9" s="70">
        <v>2014</v>
      </c>
      <c r="AI9" s="70">
        <v>1</v>
      </c>
      <c r="AJ9" s="70">
        <v>1</v>
      </c>
      <c r="AK9" s="146"/>
      <c r="AL9" s="72" t="s">
        <v>654</v>
      </c>
      <c r="AM9" s="70"/>
      <c r="AN9" s="70"/>
      <c r="AO9" s="70"/>
      <c r="AP9" s="70"/>
      <c r="AQ9" s="70"/>
      <c r="AR9" s="70"/>
      <c r="AS9" s="70"/>
      <c r="AT9" s="70"/>
      <c r="AU9" s="70"/>
      <c r="AV9" s="72"/>
      <c r="AW9" s="72"/>
      <c r="AX9" s="72"/>
      <c r="AY9" s="73"/>
      <c r="AZ9" s="70"/>
      <c r="BA9" s="72"/>
      <c r="BB9" s="70"/>
      <c r="BC9" s="70"/>
      <c r="BD9" s="70"/>
      <c r="BE9" s="70"/>
      <c r="BF9" s="72"/>
      <c r="BG9" s="72"/>
      <c r="BH9" s="70"/>
      <c r="BI9" s="70"/>
      <c r="BJ9" s="70" t="s">
        <v>270</v>
      </c>
      <c r="BK9" s="70"/>
      <c r="BL9" s="70"/>
      <c r="BM9" s="70"/>
      <c r="BN9" s="70"/>
      <c r="BO9" s="72"/>
      <c r="BP9" s="72"/>
      <c r="BQ9" s="92">
        <v>1</v>
      </c>
      <c r="BR9" s="94"/>
      <c r="BS9" s="93"/>
      <c r="BT9" s="92">
        <f>5.9664*1000</f>
        <v>5966.4000000000005</v>
      </c>
      <c r="BU9" s="92"/>
      <c r="BV9" s="92"/>
      <c r="BW9" s="92"/>
      <c r="BX9" s="92"/>
      <c r="BY9" s="92"/>
      <c r="BZ9" s="92"/>
      <c r="CA9" s="92"/>
      <c r="CB9" s="92"/>
      <c r="CC9" s="92"/>
      <c r="CD9" s="122"/>
      <c r="CE9" s="92"/>
      <c r="CF9" s="92"/>
      <c r="CG9" s="92"/>
      <c r="CH9" s="92"/>
      <c r="CI9" s="92"/>
      <c r="CJ9" s="92"/>
      <c r="CK9" s="92"/>
      <c r="CL9" s="92"/>
      <c r="CM9" s="92"/>
      <c r="CN9" s="92"/>
      <c r="CO9" s="92"/>
      <c r="CP9" s="92"/>
      <c r="CQ9" s="92"/>
      <c r="CR9" s="92"/>
      <c r="CS9" s="92"/>
      <c r="CT9" s="92"/>
      <c r="CU9" s="92"/>
      <c r="CV9" s="92"/>
      <c r="CW9" s="94" t="s">
        <v>287</v>
      </c>
      <c r="CX9" s="104"/>
      <c r="CY9" s="105" t="s">
        <v>270</v>
      </c>
      <c r="CZ9" s="135"/>
      <c r="DA9" s="32"/>
      <c r="DB9" s="32"/>
      <c r="DC9" s="32"/>
      <c r="DD9" s="32"/>
      <c r="DE9" s="32"/>
      <c r="DF9" s="32"/>
      <c r="DG9" s="32"/>
      <c r="DH9" s="32"/>
      <c r="DI9" s="32"/>
      <c r="DJ9" s="32"/>
      <c r="DK9" s="32"/>
      <c r="DL9" s="32"/>
      <c r="DM9" s="32"/>
      <c r="DN9" s="32"/>
      <c r="DO9" s="32"/>
      <c r="DP9" s="32"/>
      <c r="DQ9" s="32"/>
      <c r="DR9" s="32"/>
      <c r="DS9" s="32"/>
      <c r="DT9" s="32"/>
      <c r="DU9" s="32"/>
      <c r="DV9" s="32"/>
      <c r="DW9" s="32"/>
      <c r="DX9" s="32"/>
      <c r="DY9" s="32"/>
      <c r="DZ9" s="32"/>
      <c r="EA9" s="32"/>
      <c r="EB9" s="32"/>
      <c r="EC9" s="32"/>
      <c r="ED9" s="32"/>
      <c r="EE9" s="32"/>
      <c r="EF9" s="32"/>
      <c r="EG9" s="32"/>
      <c r="EH9" s="32"/>
      <c r="EI9" s="32"/>
      <c r="EJ9" s="32"/>
      <c r="EK9" s="32"/>
      <c r="EL9" s="32"/>
      <c r="EM9" s="32"/>
      <c r="EN9" s="32"/>
      <c r="EO9" s="32"/>
      <c r="EP9" s="32"/>
      <c r="EQ9" s="32"/>
      <c r="ER9" s="32"/>
      <c r="ES9" s="32"/>
      <c r="ET9" s="32"/>
      <c r="EU9" s="32"/>
      <c r="EV9" s="32"/>
      <c r="EW9" s="32"/>
      <c r="EX9" s="32"/>
      <c r="EY9" s="32"/>
      <c r="EZ9" s="32"/>
      <c r="FA9" s="32"/>
      <c r="FB9" s="32"/>
      <c r="FC9" s="32"/>
      <c r="FD9" s="32"/>
      <c r="FE9" s="32"/>
      <c r="FF9" s="32"/>
    </row>
    <row r="10" spans="1:162" s="74" customFormat="1" ht="14" customHeight="1" thickBot="1" x14ac:dyDescent="0.2">
      <c r="A10" s="62">
        <v>6</v>
      </c>
      <c r="B10" s="62">
        <v>8</v>
      </c>
      <c r="C10" s="62">
        <v>2021</v>
      </c>
      <c r="D10" s="63" t="s">
        <v>631</v>
      </c>
      <c r="E10" s="64" t="s">
        <v>10</v>
      </c>
      <c r="F10" s="63" t="s">
        <v>237</v>
      </c>
      <c r="G10" s="65" t="s">
        <v>268</v>
      </c>
      <c r="H10" s="65" t="s">
        <v>368</v>
      </c>
      <c r="I10" s="66"/>
      <c r="J10" s="67" t="s">
        <v>406</v>
      </c>
      <c r="K10" s="65" t="s">
        <v>414</v>
      </c>
      <c r="L10" s="65"/>
      <c r="M10" s="65"/>
      <c r="N10" s="69" t="s">
        <v>267</v>
      </c>
      <c r="O10" s="68" t="s">
        <v>419</v>
      </c>
      <c r="P10" s="69">
        <v>1000</v>
      </c>
      <c r="Q10" s="55" t="s">
        <v>538</v>
      </c>
      <c r="R10" s="69" t="s">
        <v>267</v>
      </c>
      <c r="S10" s="69" t="s">
        <v>267</v>
      </c>
      <c r="T10" s="69" t="s">
        <v>270</v>
      </c>
      <c r="U10" s="69" t="s">
        <v>270</v>
      </c>
      <c r="V10" s="69" t="s">
        <v>270</v>
      </c>
      <c r="W10" s="69" t="s">
        <v>270</v>
      </c>
      <c r="X10" s="69" t="s">
        <v>267</v>
      </c>
      <c r="Y10" s="69" t="s">
        <v>267</v>
      </c>
      <c r="Z10" s="69"/>
      <c r="AA10" s="69" t="s">
        <v>267</v>
      </c>
      <c r="AB10" s="119" t="s">
        <v>317</v>
      </c>
      <c r="AC10" s="69">
        <v>8</v>
      </c>
      <c r="AD10" s="68"/>
      <c r="AE10" s="192"/>
      <c r="AF10" s="70" t="s">
        <v>461</v>
      </c>
      <c r="AG10" s="71" t="s">
        <v>318</v>
      </c>
      <c r="AH10" s="70"/>
      <c r="AI10" s="70">
        <v>38</v>
      </c>
      <c r="AJ10" s="70">
        <v>38</v>
      </c>
      <c r="AK10" s="146"/>
      <c r="AL10" s="72" t="s">
        <v>608</v>
      </c>
      <c r="AM10" s="70">
        <v>3000</v>
      </c>
      <c r="AN10" s="70">
        <v>3703.61</v>
      </c>
      <c r="AO10" s="70"/>
      <c r="AP10" s="70"/>
      <c r="AQ10" s="70"/>
      <c r="AR10" s="70"/>
      <c r="AS10" s="70">
        <f t="shared" si="0"/>
        <v>13332.996000000001</v>
      </c>
      <c r="AT10" s="70" t="s">
        <v>541</v>
      </c>
      <c r="AU10" s="70">
        <v>70</v>
      </c>
      <c r="AV10" s="72"/>
      <c r="AW10" s="72"/>
      <c r="AX10" s="72"/>
      <c r="AY10" s="73">
        <v>2</v>
      </c>
      <c r="AZ10" s="70">
        <v>2000</v>
      </c>
      <c r="BA10" s="72"/>
      <c r="BB10" s="70">
        <v>247.55</v>
      </c>
      <c r="BC10" s="70">
        <v>247.55</v>
      </c>
      <c r="BD10" s="70">
        <v>64.25</v>
      </c>
      <c r="BE10" s="70">
        <v>184.45</v>
      </c>
      <c r="BF10" s="72" t="s">
        <v>451</v>
      </c>
      <c r="BG10" s="72"/>
      <c r="BH10" s="70">
        <v>120</v>
      </c>
      <c r="BI10" s="70"/>
      <c r="BJ10" s="70" t="s">
        <v>270</v>
      </c>
      <c r="BK10" s="70"/>
      <c r="BL10" s="70">
        <v>76</v>
      </c>
      <c r="BM10" s="70">
        <v>30</v>
      </c>
      <c r="BN10" s="70">
        <v>5300</v>
      </c>
      <c r="BO10" s="72"/>
      <c r="BP10" s="72"/>
      <c r="BQ10" s="92">
        <v>8</v>
      </c>
      <c r="BR10" s="94"/>
      <c r="BS10" s="93"/>
      <c r="BT10" s="92">
        <v>6800</v>
      </c>
      <c r="BU10" s="92">
        <v>33</v>
      </c>
      <c r="BV10" s="92"/>
      <c r="BW10" s="92"/>
      <c r="BX10" s="92"/>
      <c r="BY10" s="92">
        <v>31</v>
      </c>
      <c r="BZ10" s="92">
        <v>2.5</v>
      </c>
      <c r="CA10" s="92">
        <v>3600</v>
      </c>
      <c r="CB10" s="92"/>
      <c r="CC10" s="92">
        <v>100</v>
      </c>
      <c r="CD10" s="92">
        <v>1.7999999999999999E-2</v>
      </c>
      <c r="CE10" s="92"/>
      <c r="CF10" s="92"/>
      <c r="CG10" s="92">
        <v>1400</v>
      </c>
      <c r="CH10" s="92"/>
      <c r="CI10" s="92"/>
      <c r="CJ10" s="92"/>
      <c r="CK10" s="92"/>
      <c r="CL10" s="92"/>
      <c r="CM10" s="92"/>
      <c r="CN10" s="92"/>
      <c r="CO10" s="92"/>
      <c r="CP10" s="92"/>
      <c r="CQ10" s="92"/>
      <c r="CR10" s="92"/>
      <c r="CS10" s="92"/>
      <c r="CT10" s="92"/>
      <c r="CU10" s="92"/>
      <c r="CV10" s="92"/>
      <c r="CW10" s="94" t="s">
        <v>273</v>
      </c>
      <c r="CX10" s="104"/>
      <c r="CY10" s="105" t="s">
        <v>270</v>
      </c>
      <c r="CZ10" s="135"/>
      <c r="DA10" s="32"/>
      <c r="DB10" s="32"/>
      <c r="DC10" s="32"/>
      <c r="DD10" s="32"/>
      <c r="DE10" s="32"/>
      <c r="DF10" s="32"/>
      <c r="DG10" s="32"/>
      <c r="DH10" s="32"/>
      <c r="DI10" s="32"/>
      <c r="DJ10" s="32"/>
      <c r="DK10" s="32"/>
      <c r="DL10" s="32"/>
      <c r="DM10" s="32"/>
      <c r="DN10" s="32"/>
      <c r="DO10" s="32"/>
      <c r="DP10" s="32"/>
      <c r="DQ10" s="32"/>
      <c r="DR10" s="32"/>
      <c r="DS10" s="32"/>
      <c r="DT10" s="32"/>
      <c r="DU10" s="32"/>
      <c r="DV10" s="32"/>
      <c r="DW10" s="32"/>
      <c r="DX10" s="32"/>
      <c r="DY10" s="32"/>
      <c r="DZ10" s="32"/>
      <c r="EA10" s="32"/>
      <c r="EB10" s="32"/>
      <c r="EC10" s="32"/>
      <c r="ED10" s="32"/>
      <c r="EE10" s="32"/>
      <c r="EF10" s="32"/>
      <c r="EG10" s="32"/>
      <c r="EH10" s="32"/>
      <c r="EI10" s="32"/>
      <c r="EJ10" s="32"/>
      <c r="EK10" s="32"/>
      <c r="EL10" s="32"/>
      <c r="EM10" s="32"/>
      <c r="EN10" s="32"/>
      <c r="EO10" s="32"/>
      <c r="EP10" s="32"/>
      <c r="EQ10" s="32"/>
      <c r="ER10" s="32"/>
      <c r="ES10" s="32"/>
      <c r="ET10" s="32"/>
      <c r="EU10" s="32"/>
      <c r="EV10" s="32"/>
      <c r="EW10" s="32"/>
      <c r="EX10" s="32"/>
      <c r="EY10" s="32"/>
      <c r="EZ10" s="32"/>
      <c r="FA10" s="32"/>
      <c r="FB10" s="32"/>
      <c r="FC10" s="32"/>
      <c r="FD10" s="32"/>
      <c r="FE10" s="32"/>
      <c r="FF10" s="32"/>
    </row>
    <row r="11" spans="1:162" s="46" customFormat="1" ht="14" customHeight="1" x14ac:dyDescent="0.15">
      <c r="A11" s="228">
        <v>7</v>
      </c>
      <c r="B11" s="76">
        <v>9</v>
      </c>
      <c r="C11" s="228">
        <v>2023</v>
      </c>
      <c r="D11" s="198" t="s">
        <v>632</v>
      </c>
      <c r="E11" s="232" t="s">
        <v>60</v>
      </c>
      <c r="F11" s="210" t="s">
        <v>332</v>
      </c>
      <c r="G11" s="200" t="s">
        <v>268</v>
      </c>
      <c r="H11" s="200" t="s">
        <v>368</v>
      </c>
      <c r="I11" s="78"/>
      <c r="J11" s="79" t="s">
        <v>406</v>
      </c>
      <c r="K11" s="77">
        <v>20</v>
      </c>
      <c r="L11" s="77"/>
      <c r="M11" s="77"/>
      <c r="N11" s="186" t="s">
        <v>267</v>
      </c>
      <c r="O11" s="243" t="s">
        <v>415</v>
      </c>
      <c r="P11" s="186">
        <v>1000</v>
      </c>
      <c r="Q11" s="186" t="s">
        <v>538</v>
      </c>
      <c r="R11" s="186" t="s">
        <v>270</v>
      </c>
      <c r="S11" s="186" t="s">
        <v>267</v>
      </c>
      <c r="T11" s="186" t="s">
        <v>270</v>
      </c>
      <c r="U11" s="186" t="s">
        <v>270</v>
      </c>
      <c r="V11" s="186" t="s">
        <v>270</v>
      </c>
      <c r="W11" s="186" t="s">
        <v>270</v>
      </c>
      <c r="X11" s="188" t="s">
        <v>267</v>
      </c>
      <c r="Y11" s="188" t="s">
        <v>270</v>
      </c>
      <c r="Z11" s="188"/>
      <c r="AA11" s="186" t="s">
        <v>270</v>
      </c>
      <c r="AB11" s="277" t="s">
        <v>333</v>
      </c>
      <c r="AC11" s="197">
        <v>7</v>
      </c>
      <c r="AD11" s="159"/>
      <c r="AE11" s="192"/>
      <c r="AF11" s="211" t="s">
        <v>461</v>
      </c>
      <c r="AG11" s="82" t="s">
        <v>318</v>
      </c>
      <c r="AH11" s="80">
        <v>2009</v>
      </c>
      <c r="AI11" s="156">
        <v>152</v>
      </c>
      <c r="AJ11" s="80">
        <v>76</v>
      </c>
      <c r="AK11" s="269" t="s">
        <v>660</v>
      </c>
      <c r="AL11" s="214" t="s">
        <v>607</v>
      </c>
      <c r="AM11" s="80"/>
      <c r="AN11" s="80">
        <v>0</v>
      </c>
      <c r="AO11" s="80">
        <v>290.7</v>
      </c>
      <c r="AP11" s="80"/>
      <c r="AQ11" s="80"/>
      <c r="AR11" s="80"/>
      <c r="AS11" s="80">
        <f>AN11*3.6+AO11*42.8</f>
        <v>12441.96</v>
      </c>
      <c r="AT11" s="80"/>
      <c r="AU11" s="80"/>
      <c r="AV11" s="83" t="s">
        <v>543</v>
      </c>
      <c r="AW11" s="83" t="s">
        <v>547</v>
      </c>
      <c r="AX11" s="211" t="s">
        <v>502</v>
      </c>
      <c r="AY11" s="84">
        <v>1.8</v>
      </c>
      <c r="AZ11" s="80">
        <v>1800</v>
      </c>
      <c r="BA11" s="83"/>
      <c r="BB11" s="253" t="s">
        <v>448</v>
      </c>
      <c r="BC11" s="253"/>
      <c r="BD11" s="253"/>
      <c r="BE11" s="253"/>
      <c r="BF11" s="253"/>
      <c r="BG11" s="253"/>
      <c r="BH11" s="253"/>
      <c r="BI11" s="253"/>
      <c r="BJ11" s="165" t="s">
        <v>270</v>
      </c>
      <c r="BK11" s="27">
        <v>954</v>
      </c>
      <c r="BL11" s="27">
        <v>0.19</v>
      </c>
      <c r="BM11" s="27">
        <v>0.06</v>
      </c>
      <c r="BN11" s="27">
        <v>28.4</v>
      </c>
      <c r="BO11" s="38"/>
      <c r="BP11" s="38"/>
      <c r="BQ11" s="239">
        <v>7</v>
      </c>
      <c r="BR11" s="97"/>
      <c r="BS11" s="95"/>
      <c r="BT11" s="96">
        <v>5014.2</v>
      </c>
      <c r="BU11" s="96">
        <v>22.2</v>
      </c>
      <c r="BV11" s="96"/>
      <c r="BW11" s="96"/>
      <c r="BX11" s="96"/>
      <c r="BY11" s="96">
        <v>0.3</v>
      </c>
      <c r="BZ11" s="96">
        <v>6.5</v>
      </c>
      <c r="CA11" s="124">
        <v>24935.8</v>
      </c>
      <c r="CB11" s="124"/>
      <c r="CC11" s="96">
        <v>5.0999999999999996</v>
      </c>
      <c r="CD11" s="96"/>
      <c r="CE11" s="96"/>
      <c r="CF11" s="96"/>
      <c r="CG11" s="96">
        <v>1575.5</v>
      </c>
      <c r="CH11" s="96"/>
      <c r="CI11" s="96"/>
      <c r="CJ11" s="96"/>
      <c r="CK11" s="96"/>
      <c r="CL11" s="96"/>
      <c r="CM11" s="96"/>
      <c r="CN11" s="96"/>
      <c r="CO11" s="96"/>
      <c r="CP11" s="96"/>
      <c r="CQ11" s="96"/>
      <c r="CR11" s="96"/>
      <c r="CS11" s="96"/>
      <c r="CT11" s="96">
        <f>0.000793</f>
        <v>7.9299999999999998E-4</v>
      </c>
      <c r="CU11" s="96"/>
      <c r="CV11" s="96"/>
      <c r="CW11" s="175" t="s">
        <v>334</v>
      </c>
      <c r="CX11" s="233"/>
      <c r="CY11" s="233" t="s">
        <v>270</v>
      </c>
      <c r="CZ11" s="261"/>
      <c r="DA11"/>
      <c r="DB11" s="32"/>
      <c r="DC11" s="32"/>
      <c r="DD11" s="32"/>
      <c r="DE11" s="32"/>
      <c r="DF11" s="32"/>
      <c r="DG11" s="32"/>
      <c r="DH11" s="32"/>
      <c r="DI11" s="32"/>
      <c r="DJ11" s="32"/>
      <c r="DK11" s="32"/>
      <c r="DL11" s="32"/>
      <c r="DM11" s="32"/>
      <c r="DN11" s="32"/>
      <c r="DO11" s="32"/>
      <c r="DP11" s="32"/>
      <c r="DQ11" s="32"/>
      <c r="DR11" s="32"/>
      <c r="DS11" s="32"/>
      <c r="DT11" s="32"/>
      <c r="DU11" s="32"/>
      <c r="DV11" s="32"/>
      <c r="DW11" s="32"/>
      <c r="DX11" s="32"/>
      <c r="DY11" s="32"/>
      <c r="DZ11" s="32"/>
      <c r="EA11" s="32"/>
      <c r="EB11" s="32"/>
      <c r="EC11" s="32"/>
      <c r="ED11" s="32"/>
      <c r="EE11" s="32"/>
      <c r="EF11" s="32"/>
      <c r="EG11" s="32"/>
      <c r="EH11" s="32"/>
      <c r="EI11" s="32"/>
      <c r="EJ11" s="32"/>
      <c r="EK11" s="32"/>
      <c r="EL11" s="32"/>
      <c r="EM11" s="32"/>
      <c r="EN11" s="32"/>
      <c r="EO11" s="32"/>
      <c r="EP11" s="32"/>
      <c r="EQ11" s="32"/>
      <c r="ER11" s="32"/>
      <c r="ES11" s="32"/>
      <c r="ET11" s="32"/>
      <c r="EU11" s="32"/>
      <c r="EV11" s="32"/>
      <c r="EW11" s="32"/>
      <c r="EX11" s="32"/>
      <c r="EY11" s="32"/>
      <c r="EZ11" s="32"/>
      <c r="FA11" s="32"/>
      <c r="FB11" s="32"/>
      <c r="FC11" s="32"/>
      <c r="FD11" s="32"/>
      <c r="FE11" s="32"/>
      <c r="FF11" s="32"/>
    </row>
    <row r="12" spans="1:162" s="60" customFormat="1" ht="14" customHeight="1" thickBot="1" x14ac:dyDescent="0.2">
      <c r="A12" s="227"/>
      <c r="B12" s="47">
        <v>10</v>
      </c>
      <c r="C12" s="227"/>
      <c r="D12" s="199"/>
      <c r="E12" s="231"/>
      <c r="F12" s="209"/>
      <c r="G12" s="202"/>
      <c r="H12" s="202"/>
      <c r="I12" s="51"/>
      <c r="J12" s="52"/>
      <c r="K12" s="50">
        <v>20</v>
      </c>
      <c r="L12" s="50"/>
      <c r="M12" s="50">
        <v>50</v>
      </c>
      <c r="N12" s="187"/>
      <c r="O12" s="244"/>
      <c r="P12" s="187"/>
      <c r="Q12" s="187"/>
      <c r="R12" s="187"/>
      <c r="S12" s="187"/>
      <c r="T12" s="187"/>
      <c r="U12" s="187"/>
      <c r="V12" s="187"/>
      <c r="W12" s="187"/>
      <c r="X12" s="189"/>
      <c r="Y12" s="189"/>
      <c r="Z12" s="189"/>
      <c r="AA12" s="187"/>
      <c r="AB12" s="278"/>
      <c r="AC12" s="174"/>
      <c r="AD12" s="160"/>
      <c r="AE12" s="192"/>
      <c r="AF12" s="185"/>
      <c r="AG12" s="57" t="s">
        <v>318</v>
      </c>
      <c r="AH12" s="56">
        <v>2011</v>
      </c>
      <c r="AI12" s="157"/>
      <c r="AJ12" s="56">
        <v>76</v>
      </c>
      <c r="AK12" s="270"/>
      <c r="AL12" s="215"/>
      <c r="AM12" s="56"/>
      <c r="AN12" s="56">
        <v>0</v>
      </c>
      <c r="AO12" s="56">
        <v>469.6</v>
      </c>
      <c r="AP12" s="56"/>
      <c r="AQ12" s="56"/>
      <c r="AR12" s="56"/>
      <c r="AS12" s="56">
        <f>AN12*3.6+AO12*42.8</f>
        <v>20098.88</v>
      </c>
      <c r="AT12" s="56"/>
      <c r="AU12" s="56"/>
      <c r="AV12" s="58" t="s">
        <v>491</v>
      </c>
      <c r="AW12" s="58" t="s">
        <v>548</v>
      </c>
      <c r="AX12" s="185"/>
      <c r="AY12" s="59">
        <v>3</v>
      </c>
      <c r="AZ12" s="56">
        <v>3000</v>
      </c>
      <c r="BA12" s="58"/>
      <c r="BB12" s="254"/>
      <c r="BC12" s="254"/>
      <c r="BD12" s="254"/>
      <c r="BE12" s="254"/>
      <c r="BF12" s="254"/>
      <c r="BG12" s="254"/>
      <c r="BH12" s="254"/>
      <c r="BI12" s="254"/>
      <c r="BJ12" s="157"/>
      <c r="BK12" s="56">
        <v>1541.2</v>
      </c>
      <c r="BL12" s="56">
        <v>0.47</v>
      </c>
      <c r="BM12" s="56">
        <v>0.14000000000000001</v>
      </c>
      <c r="BN12" s="56">
        <v>26.4</v>
      </c>
      <c r="BO12" s="58"/>
      <c r="BP12" s="58"/>
      <c r="BQ12" s="241"/>
      <c r="BR12" s="91"/>
      <c r="BS12" s="90"/>
      <c r="BT12" s="89">
        <v>8293.4</v>
      </c>
      <c r="BU12" s="89">
        <v>36.9</v>
      </c>
      <c r="BV12" s="89"/>
      <c r="BW12" s="89"/>
      <c r="BX12" s="89"/>
      <c r="BY12" s="89">
        <v>0.6</v>
      </c>
      <c r="BZ12" s="89">
        <v>11</v>
      </c>
      <c r="CA12" s="125">
        <v>41531.699999999997</v>
      </c>
      <c r="CB12" s="125"/>
      <c r="CC12" s="89">
        <v>8.5</v>
      </c>
      <c r="CD12" s="89"/>
      <c r="CE12" s="89"/>
      <c r="CF12" s="89"/>
      <c r="CG12" s="89">
        <v>2604.9</v>
      </c>
      <c r="CH12" s="89"/>
      <c r="CI12" s="89"/>
      <c r="CJ12" s="89"/>
      <c r="CK12" s="89"/>
      <c r="CL12" s="89"/>
      <c r="CM12" s="89"/>
      <c r="CN12" s="89"/>
      <c r="CO12" s="89"/>
      <c r="CP12" s="89"/>
      <c r="CQ12" s="89"/>
      <c r="CR12" s="89"/>
      <c r="CS12" s="89"/>
      <c r="CT12" s="89">
        <v>1.32E-3</v>
      </c>
      <c r="CU12" s="89"/>
      <c r="CV12" s="89"/>
      <c r="CW12" s="176"/>
      <c r="CX12" s="234"/>
      <c r="CY12" s="234"/>
      <c r="CZ12" s="238"/>
      <c r="DA12" s="32"/>
      <c r="DB12" s="32"/>
      <c r="DC12" s="32"/>
      <c r="DD12" s="32"/>
      <c r="DE12" s="32"/>
      <c r="DF12" s="32"/>
      <c r="DG12" s="32"/>
      <c r="DH12" s="32"/>
      <c r="DI12" s="32"/>
      <c r="DJ12" s="32"/>
      <c r="DK12" s="32"/>
      <c r="DL12" s="32"/>
      <c r="DM12" s="32"/>
      <c r="DN12" s="32"/>
      <c r="DO12" s="32"/>
      <c r="DP12" s="32"/>
      <c r="DQ12" s="32"/>
      <c r="DR12" s="32"/>
      <c r="DS12" s="32"/>
      <c r="DT12" s="32"/>
      <c r="DU12" s="32"/>
      <c r="DV12" s="32"/>
      <c r="DW12" s="32"/>
      <c r="DX12" s="32"/>
      <c r="DY12" s="32"/>
      <c r="DZ12" s="32"/>
      <c r="EA12" s="32"/>
      <c r="EB12" s="32"/>
      <c r="EC12" s="32"/>
      <c r="ED12" s="32"/>
      <c r="EE12" s="32"/>
      <c r="EF12" s="32"/>
      <c r="EG12" s="32"/>
      <c r="EH12" s="32"/>
      <c r="EI12" s="32"/>
      <c r="EJ12" s="32"/>
      <c r="EK12" s="32"/>
      <c r="EL12" s="32"/>
      <c r="EM12" s="32"/>
      <c r="EN12" s="32"/>
      <c r="EO12" s="32"/>
      <c r="EP12" s="32"/>
      <c r="EQ12" s="32"/>
      <c r="ER12" s="32"/>
      <c r="ES12" s="32"/>
      <c r="ET12" s="32"/>
      <c r="EU12" s="32"/>
      <c r="EV12" s="32"/>
      <c r="EW12" s="32"/>
      <c r="EX12" s="32"/>
      <c r="EY12" s="32"/>
      <c r="EZ12" s="32"/>
      <c r="FA12" s="32"/>
      <c r="FB12" s="32"/>
      <c r="FC12" s="32"/>
      <c r="FD12" s="32"/>
      <c r="FE12" s="32"/>
      <c r="FF12" s="32"/>
    </row>
    <row r="13" spans="1:162" s="46" customFormat="1" ht="14" customHeight="1" x14ac:dyDescent="0.15">
      <c r="A13" s="225">
        <v>8</v>
      </c>
      <c r="B13" s="28">
        <v>11</v>
      </c>
      <c r="C13" s="225">
        <v>2015</v>
      </c>
      <c r="D13" s="207" t="s">
        <v>274</v>
      </c>
      <c r="E13" s="229" t="s">
        <v>44</v>
      </c>
      <c r="F13" s="207" t="s">
        <v>326</v>
      </c>
      <c r="G13" s="200" t="s">
        <v>268</v>
      </c>
      <c r="H13" s="200" t="s">
        <v>368</v>
      </c>
      <c r="I13" s="43" t="s">
        <v>376</v>
      </c>
      <c r="J13" s="44"/>
      <c r="K13" s="29">
        <v>113</v>
      </c>
      <c r="L13" s="29"/>
      <c r="M13" s="29">
        <v>62</v>
      </c>
      <c r="N13" s="194" t="s">
        <v>267</v>
      </c>
      <c r="O13" s="248" t="s">
        <v>420</v>
      </c>
      <c r="P13" s="196">
        <v>1000</v>
      </c>
      <c r="Q13" s="257" t="s">
        <v>540</v>
      </c>
      <c r="R13" s="194" t="s">
        <v>267</v>
      </c>
      <c r="S13" s="194" t="s">
        <v>267</v>
      </c>
      <c r="T13" s="194" t="s">
        <v>270</v>
      </c>
      <c r="U13" s="194" t="s">
        <v>270</v>
      </c>
      <c r="V13" s="194" t="s">
        <v>267</v>
      </c>
      <c r="W13" s="194" t="s">
        <v>270</v>
      </c>
      <c r="X13" s="194" t="s">
        <v>267</v>
      </c>
      <c r="Y13" s="194" t="s">
        <v>267</v>
      </c>
      <c r="Z13" s="194" t="s">
        <v>427</v>
      </c>
      <c r="AA13" s="194" t="s">
        <v>267</v>
      </c>
      <c r="AB13" s="277" t="s">
        <v>580</v>
      </c>
      <c r="AC13" s="197">
        <v>3</v>
      </c>
      <c r="AD13" s="159"/>
      <c r="AE13" s="192"/>
      <c r="AF13" s="164" t="s">
        <v>459</v>
      </c>
      <c r="AG13" s="216" t="s">
        <v>300</v>
      </c>
      <c r="AH13" s="158">
        <v>2011</v>
      </c>
      <c r="AI13" s="156">
        <v>565</v>
      </c>
      <c r="AJ13" s="27">
        <v>100</v>
      </c>
      <c r="AK13" s="269" t="s">
        <v>661</v>
      </c>
      <c r="AL13" s="216" t="s">
        <v>534</v>
      </c>
      <c r="AM13" s="27"/>
      <c r="AN13" s="27">
        <v>3803</v>
      </c>
      <c r="AO13" s="27">
        <v>66.400000000000006</v>
      </c>
      <c r="AP13" s="27">
        <v>1.26</v>
      </c>
      <c r="AQ13" s="27"/>
      <c r="AR13" s="27"/>
      <c r="AS13" s="27">
        <f>AN13*3.6+AO13*42.8+AP13*42.5+AQ13*15.4+AR13*45.5</f>
        <v>16586.27</v>
      </c>
      <c r="AT13" s="164" t="s">
        <v>542</v>
      </c>
      <c r="AU13" s="27">
        <v>134669</v>
      </c>
      <c r="AV13" s="38" t="s">
        <v>511</v>
      </c>
      <c r="AW13" s="38"/>
      <c r="AX13" s="38" t="s">
        <v>512</v>
      </c>
      <c r="AY13" s="45">
        <v>1.256</v>
      </c>
      <c r="AZ13" s="27">
        <v>1256</v>
      </c>
      <c r="BA13" s="38"/>
      <c r="BB13" s="156">
        <v>339</v>
      </c>
      <c r="BC13" s="156">
        <v>280</v>
      </c>
      <c r="BD13" s="156">
        <v>16</v>
      </c>
      <c r="BE13" s="156">
        <v>247</v>
      </c>
      <c r="BF13" s="167" t="s">
        <v>452</v>
      </c>
      <c r="BG13" s="166" t="s">
        <v>627</v>
      </c>
      <c r="BH13" s="27"/>
      <c r="BI13" s="27"/>
      <c r="BJ13" s="158" t="s">
        <v>267</v>
      </c>
      <c r="BK13" s="27"/>
      <c r="BL13" s="27">
        <v>52.545000000000002</v>
      </c>
      <c r="BM13" s="27">
        <v>3.2810000000000001</v>
      </c>
      <c r="BN13" s="27"/>
      <c r="BO13" s="38" t="s">
        <v>649</v>
      </c>
      <c r="BP13" s="38"/>
      <c r="BQ13" s="239">
        <v>3</v>
      </c>
      <c r="BR13" s="95">
        <v>8900</v>
      </c>
      <c r="BS13" s="95">
        <v>7135</v>
      </c>
      <c r="BT13" s="96"/>
      <c r="BU13" s="96"/>
      <c r="BV13" s="96"/>
      <c r="BW13" s="96">
        <v>105</v>
      </c>
      <c r="BX13" s="96">
        <v>83.15</v>
      </c>
      <c r="BY13" s="96"/>
      <c r="BZ13" s="96"/>
      <c r="CA13" s="96"/>
      <c r="CB13" s="96"/>
      <c r="CC13" s="96"/>
      <c r="CD13" s="96"/>
      <c r="CE13" s="126"/>
      <c r="CF13" s="96"/>
      <c r="CG13" s="96"/>
      <c r="CH13" s="96"/>
      <c r="CI13" s="96"/>
      <c r="CJ13" s="96"/>
      <c r="CK13" s="96"/>
      <c r="CL13" s="96"/>
      <c r="CM13" s="96"/>
      <c r="CN13" s="96"/>
      <c r="CO13" s="96"/>
      <c r="CP13" s="96">
        <v>14200</v>
      </c>
      <c r="CQ13" s="96">
        <v>11750</v>
      </c>
      <c r="CR13" s="96"/>
      <c r="CS13" s="96"/>
      <c r="CT13" s="96"/>
      <c r="CU13" s="96"/>
      <c r="CV13" s="96"/>
      <c r="CW13" s="175" t="s">
        <v>389</v>
      </c>
      <c r="CX13" s="233" t="s">
        <v>527</v>
      </c>
      <c r="CY13" s="233" t="s">
        <v>267</v>
      </c>
      <c r="CZ13" s="236">
        <v>0.95</v>
      </c>
      <c r="DA13"/>
      <c r="DB13" s="32"/>
      <c r="DC13" s="32"/>
      <c r="DD13" s="32"/>
      <c r="DE13" s="32"/>
      <c r="DF13" s="32"/>
      <c r="DG13" s="32"/>
      <c r="DH13" s="32"/>
      <c r="DI13" s="32"/>
      <c r="DJ13" s="32"/>
      <c r="DK13" s="32"/>
      <c r="DL13" s="32"/>
      <c r="DM13" s="32"/>
      <c r="DN13" s="32"/>
      <c r="DO13" s="32"/>
      <c r="DP13" s="32"/>
      <c r="DQ13" s="32"/>
      <c r="DR13" s="32"/>
      <c r="DS13" s="32"/>
      <c r="DT13" s="32"/>
      <c r="DU13" s="32"/>
      <c r="DV13" s="32"/>
      <c r="DW13" s="32"/>
      <c r="DX13" s="32"/>
      <c r="DY13" s="32"/>
      <c r="DZ13" s="32"/>
      <c r="EA13" s="32"/>
      <c r="EB13" s="32"/>
      <c r="EC13" s="32"/>
      <c r="ED13" s="32"/>
      <c r="EE13" s="32"/>
      <c r="EF13" s="32"/>
      <c r="EG13" s="32"/>
      <c r="EH13" s="32"/>
      <c r="EI13" s="32"/>
      <c r="EJ13" s="32"/>
      <c r="EK13" s="32"/>
      <c r="EL13" s="32"/>
      <c r="EM13" s="32"/>
      <c r="EN13" s="32"/>
      <c r="EO13" s="32"/>
      <c r="EP13" s="32"/>
      <c r="EQ13" s="32"/>
      <c r="ER13" s="32"/>
      <c r="ES13" s="32"/>
      <c r="ET13" s="32"/>
      <c r="EU13" s="32"/>
      <c r="EV13" s="32"/>
      <c r="EW13" s="32"/>
      <c r="EX13" s="32"/>
      <c r="EY13" s="32"/>
      <c r="EZ13" s="32"/>
      <c r="FA13" s="32"/>
      <c r="FB13" s="32"/>
      <c r="FC13" s="32"/>
      <c r="FD13" s="32"/>
      <c r="FE13" s="32"/>
      <c r="FF13" s="32"/>
    </row>
    <row r="14" spans="1:162" ht="14" customHeight="1" x14ac:dyDescent="0.15">
      <c r="A14" s="226"/>
      <c r="B14" s="16">
        <v>12</v>
      </c>
      <c r="C14" s="226"/>
      <c r="D14" s="208"/>
      <c r="E14" s="230"/>
      <c r="F14" s="208"/>
      <c r="G14" s="203"/>
      <c r="H14" s="203"/>
      <c r="I14" s="18" t="s">
        <v>377</v>
      </c>
      <c r="J14" s="24"/>
      <c r="K14" s="17">
        <v>281</v>
      </c>
      <c r="L14" s="17"/>
      <c r="M14" s="17">
        <v>68</v>
      </c>
      <c r="N14" s="195"/>
      <c r="O14" s="249"/>
      <c r="P14" s="196"/>
      <c r="Q14" s="258"/>
      <c r="R14" s="195"/>
      <c r="S14" s="195"/>
      <c r="T14" s="195"/>
      <c r="U14" s="195"/>
      <c r="V14" s="195"/>
      <c r="W14" s="195"/>
      <c r="X14" s="195"/>
      <c r="Y14" s="195"/>
      <c r="Z14" s="195"/>
      <c r="AA14" s="195"/>
      <c r="AB14" s="279"/>
      <c r="AC14" s="196"/>
      <c r="AD14" s="161"/>
      <c r="AE14" s="192"/>
      <c r="AF14" s="184"/>
      <c r="AG14" s="217"/>
      <c r="AH14" s="158"/>
      <c r="AI14" s="158"/>
      <c r="AJ14" s="21">
        <v>99</v>
      </c>
      <c r="AK14" s="271"/>
      <c r="AL14" s="217"/>
      <c r="AM14" s="21"/>
      <c r="AN14" s="21">
        <v>4340</v>
      </c>
      <c r="AO14" s="21">
        <v>32.031999999999996</v>
      </c>
      <c r="AP14" s="21"/>
      <c r="AQ14" s="21"/>
      <c r="AR14" s="21"/>
      <c r="AS14" s="21">
        <f t="shared" ref="AS14:AS39" si="1">AN14*3.6+AO14*42.8+AP14*42.5+AQ14*15.4+AR14*45.5</f>
        <v>16994.9696</v>
      </c>
      <c r="AT14" s="184"/>
      <c r="AU14" s="21">
        <v>130912</v>
      </c>
      <c r="AV14" s="23" t="s">
        <v>513</v>
      </c>
      <c r="AW14" s="23"/>
      <c r="AX14" s="23" t="s">
        <v>514</v>
      </c>
      <c r="AY14" s="30">
        <v>1.32</v>
      </c>
      <c r="AZ14" s="21">
        <v>1320</v>
      </c>
      <c r="BA14" s="23"/>
      <c r="BB14" s="164"/>
      <c r="BC14" s="164"/>
      <c r="BD14" s="164"/>
      <c r="BE14" s="164"/>
      <c r="BF14" s="171"/>
      <c r="BG14" s="167"/>
      <c r="BH14" s="21"/>
      <c r="BI14" s="21"/>
      <c r="BJ14" s="158"/>
      <c r="BK14" s="21"/>
      <c r="BL14" s="21">
        <v>49.201000000000001</v>
      </c>
      <c r="BM14" s="21">
        <v>3.21</v>
      </c>
      <c r="BN14" s="21"/>
      <c r="BO14" s="23" t="s">
        <v>650</v>
      </c>
      <c r="BP14" s="23"/>
      <c r="BQ14" s="240"/>
      <c r="BR14" s="98">
        <v>9170</v>
      </c>
      <c r="BS14" s="98">
        <v>7440</v>
      </c>
      <c r="BT14" s="100"/>
      <c r="BU14" s="100"/>
      <c r="BV14" s="100"/>
      <c r="BW14" s="100">
        <v>110</v>
      </c>
      <c r="BX14" s="100">
        <v>84.7</v>
      </c>
      <c r="BY14" s="100"/>
      <c r="BZ14" s="100"/>
      <c r="CA14" s="100"/>
      <c r="CB14" s="100"/>
      <c r="CC14" s="100"/>
      <c r="CD14" s="100"/>
      <c r="CE14" s="127"/>
      <c r="CF14" s="100"/>
      <c r="CG14" s="100"/>
      <c r="CH14" s="100"/>
      <c r="CI14" s="100"/>
      <c r="CJ14" s="100"/>
      <c r="CK14" s="100"/>
      <c r="CL14" s="100"/>
      <c r="CM14" s="100"/>
      <c r="CN14" s="100"/>
      <c r="CO14" s="100"/>
      <c r="CP14" s="100">
        <v>14300</v>
      </c>
      <c r="CQ14" s="100">
        <v>12700</v>
      </c>
      <c r="CR14" s="100"/>
      <c r="CS14" s="100"/>
      <c r="CT14" s="100"/>
      <c r="CU14" s="100"/>
      <c r="CV14" s="100"/>
      <c r="CW14" s="177"/>
      <c r="CX14" s="235"/>
      <c r="CY14" s="235"/>
      <c r="CZ14" s="237"/>
      <c r="DA14"/>
    </row>
    <row r="15" spans="1:162" ht="14" customHeight="1" x14ac:dyDescent="0.15">
      <c r="A15" s="226"/>
      <c r="B15" s="16">
        <v>13</v>
      </c>
      <c r="C15" s="226"/>
      <c r="D15" s="208"/>
      <c r="E15" s="230"/>
      <c r="F15" s="208"/>
      <c r="G15" s="204" t="s">
        <v>521</v>
      </c>
      <c r="H15" s="17" t="s">
        <v>367</v>
      </c>
      <c r="I15" s="18"/>
      <c r="J15" s="19" t="s">
        <v>340</v>
      </c>
      <c r="K15" s="17"/>
      <c r="L15" s="17"/>
      <c r="M15" s="17"/>
      <c r="N15" s="195"/>
      <c r="O15" s="249"/>
      <c r="P15" s="196"/>
      <c r="Q15" s="258"/>
      <c r="R15" s="195"/>
      <c r="S15" s="195"/>
      <c r="T15" s="195"/>
      <c r="U15" s="195"/>
      <c r="V15" s="195"/>
      <c r="W15" s="195"/>
      <c r="X15" s="195"/>
      <c r="Y15" s="195"/>
      <c r="Z15" s="195"/>
      <c r="AA15" s="195"/>
      <c r="AB15" s="279"/>
      <c r="AC15" s="196"/>
      <c r="AD15" s="161"/>
      <c r="AE15" s="192"/>
      <c r="AF15" s="184" t="s">
        <v>457</v>
      </c>
      <c r="AG15" s="22" t="s">
        <v>339</v>
      </c>
      <c r="AH15" s="158"/>
      <c r="AI15" s="158"/>
      <c r="AJ15" s="21">
        <v>65</v>
      </c>
      <c r="AK15" s="271"/>
      <c r="AL15" s="217"/>
      <c r="AM15" s="21"/>
      <c r="AN15" s="21">
        <v>5.2460000000000004</v>
      </c>
      <c r="AO15" s="21">
        <v>125</v>
      </c>
      <c r="AP15" s="21"/>
      <c r="AQ15" s="21">
        <v>81.5</v>
      </c>
      <c r="AR15" s="21"/>
      <c r="AS15" s="21">
        <f t="shared" si="1"/>
        <v>6623.9856</v>
      </c>
      <c r="AT15" s="184"/>
      <c r="AU15" s="21">
        <v>136782</v>
      </c>
      <c r="AV15" s="23" t="s">
        <v>508</v>
      </c>
      <c r="AW15" s="23"/>
      <c r="AX15" s="23"/>
      <c r="AY15" s="30">
        <v>0.55700000000000005</v>
      </c>
      <c r="AZ15" s="21">
        <v>187</v>
      </c>
      <c r="BA15" s="23" t="s">
        <v>444</v>
      </c>
      <c r="BB15" s="165">
        <v>30</v>
      </c>
      <c r="BC15" s="165">
        <v>250</v>
      </c>
      <c r="BD15" s="165">
        <v>0</v>
      </c>
      <c r="BE15" s="165">
        <v>200</v>
      </c>
      <c r="BF15" s="171" t="s">
        <v>550</v>
      </c>
      <c r="BG15" s="168" t="s">
        <v>621</v>
      </c>
      <c r="BH15" s="21"/>
      <c r="BI15" s="21"/>
      <c r="BJ15" s="158"/>
      <c r="BK15" s="21"/>
      <c r="BL15" s="132"/>
      <c r="BM15" s="21"/>
      <c r="BN15" s="21"/>
      <c r="BO15" s="23" t="s">
        <v>508</v>
      </c>
      <c r="BP15" s="23" t="s">
        <v>477</v>
      </c>
      <c r="BQ15" s="240"/>
      <c r="BR15" s="98">
        <v>6660</v>
      </c>
      <c r="BS15" s="98">
        <v>4485</v>
      </c>
      <c r="BT15" s="100"/>
      <c r="BU15" s="100"/>
      <c r="BV15" s="100"/>
      <c r="BW15" s="100">
        <v>84.75</v>
      </c>
      <c r="BX15" s="100">
        <v>49.2</v>
      </c>
      <c r="BY15" s="100"/>
      <c r="BZ15" s="100"/>
      <c r="CA15" s="100"/>
      <c r="CB15" s="100"/>
      <c r="CC15" s="100"/>
      <c r="CD15" s="100"/>
      <c r="CE15" s="127"/>
      <c r="CF15" s="100"/>
      <c r="CG15" s="100"/>
      <c r="CH15" s="100"/>
      <c r="CI15" s="100"/>
      <c r="CJ15" s="100"/>
      <c r="CK15" s="100"/>
      <c r="CL15" s="100"/>
      <c r="CM15" s="100"/>
      <c r="CN15" s="100"/>
      <c r="CO15" s="100"/>
      <c r="CP15" s="100">
        <v>1995</v>
      </c>
      <c r="CQ15" s="100">
        <v>1950</v>
      </c>
      <c r="CR15" s="100"/>
      <c r="CS15" s="100"/>
      <c r="CT15" s="100"/>
      <c r="CU15" s="100"/>
      <c r="CV15" s="100"/>
      <c r="CW15" s="177"/>
      <c r="CX15" s="235"/>
      <c r="CY15" s="235"/>
      <c r="CZ15" s="237"/>
      <c r="DA15"/>
    </row>
    <row r="16" spans="1:162" ht="14" customHeight="1" x14ac:dyDescent="0.15">
      <c r="A16" s="226"/>
      <c r="B16" s="16">
        <v>14</v>
      </c>
      <c r="C16" s="226"/>
      <c r="D16" s="208"/>
      <c r="E16" s="230"/>
      <c r="F16" s="208"/>
      <c r="G16" s="203"/>
      <c r="H16" s="17" t="s">
        <v>368</v>
      </c>
      <c r="I16" s="18"/>
      <c r="J16" s="19" t="s">
        <v>342</v>
      </c>
      <c r="K16" s="17"/>
      <c r="L16" s="17"/>
      <c r="M16" s="17"/>
      <c r="N16" s="195"/>
      <c r="O16" s="249"/>
      <c r="P16" s="196"/>
      <c r="Q16" s="258"/>
      <c r="R16" s="195"/>
      <c r="S16" s="195"/>
      <c r="T16" s="195"/>
      <c r="U16" s="195"/>
      <c r="V16" s="195"/>
      <c r="W16" s="195"/>
      <c r="X16" s="195"/>
      <c r="Y16" s="195"/>
      <c r="Z16" s="195"/>
      <c r="AA16" s="195"/>
      <c r="AB16" s="279"/>
      <c r="AC16" s="196"/>
      <c r="AD16" s="161"/>
      <c r="AE16" s="192"/>
      <c r="AF16" s="184"/>
      <c r="AG16" s="22" t="s">
        <v>341</v>
      </c>
      <c r="AH16" s="158"/>
      <c r="AI16" s="158"/>
      <c r="AJ16" s="21">
        <v>24</v>
      </c>
      <c r="AK16" s="271"/>
      <c r="AL16" s="217"/>
      <c r="AM16" s="21"/>
      <c r="AN16" s="21">
        <v>87.7</v>
      </c>
      <c r="AO16" s="21">
        <v>101</v>
      </c>
      <c r="AP16" s="21"/>
      <c r="AQ16" s="21">
        <v>1813.1</v>
      </c>
      <c r="AR16" s="21"/>
      <c r="AS16" s="21">
        <f t="shared" si="1"/>
        <v>32560.26</v>
      </c>
      <c r="AT16" s="184"/>
      <c r="AU16" s="21">
        <v>284055</v>
      </c>
      <c r="AV16" s="23" t="s">
        <v>508</v>
      </c>
      <c r="AW16" s="23"/>
      <c r="AX16" s="23"/>
      <c r="AY16" s="30">
        <v>0.83399999999999996</v>
      </c>
      <c r="AZ16" s="21">
        <v>1</v>
      </c>
      <c r="BA16" s="23" t="s">
        <v>445</v>
      </c>
      <c r="BB16" s="164"/>
      <c r="BC16" s="164"/>
      <c r="BD16" s="164"/>
      <c r="BE16" s="164"/>
      <c r="BF16" s="171"/>
      <c r="BG16" s="167"/>
      <c r="BH16" s="21"/>
      <c r="BI16" s="21"/>
      <c r="BJ16" s="158"/>
      <c r="BK16" s="21"/>
      <c r="BL16" s="21">
        <v>13.429</v>
      </c>
      <c r="BM16" s="21">
        <v>1.07</v>
      </c>
      <c r="BN16" s="21"/>
      <c r="BO16" s="23" t="s">
        <v>648</v>
      </c>
      <c r="BP16" s="23" t="s">
        <v>478</v>
      </c>
      <c r="BQ16" s="240"/>
      <c r="BR16" s="98">
        <v>9125</v>
      </c>
      <c r="BS16" s="98">
        <v>5585</v>
      </c>
      <c r="BT16" s="100"/>
      <c r="BU16" s="100"/>
      <c r="BV16" s="100"/>
      <c r="BW16" s="100">
        <v>150.5</v>
      </c>
      <c r="BX16" s="100">
        <v>85.25</v>
      </c>
      <c r="BY16" s="100"/>
      <c r="BZ16" s="100"/>
      <c r="CA16" s="100"/>
      <c r="CB16" s="100"/>
      <c r="CC16" s="100"/>
      <c r="CD16" s="100"/>
      <c r="CE16" s="127"/>
      <c r="CF16" s="100"/>
      <c r="CG16" s="100"/>
      <c r="CH16" s="100"/>
      <c r="CI16" s="100"/>
      <c r="CJ16" s="100"/>
      <c r="CK16" s="100"/>
      <c r="CL16" s="100"/>
      <c r="CM16" s="100"/>
      <c r="CN16" s="100"/>
      <c r="CO16" s="100"/>
      <c r="CP16" s="100">
        <v>2755</v>
      </c>
      <c r="CQ16" s="100">
        <v>1730</v>
      </c>
      <c r="CR16" s="100"/>
      <c r="CS16" s="100"/>
      <c r="CT16" s="100"/>
      <c r="CU16" s="100"/>
      <c r="CV16" s="100"/>
      <c r="CW16" s="177"/>
      <c r="CX16" s="235"/>
      <c r="CY16" s="235"/>
      <c r="CZ16" s="237"/>
      <c r="DA16"/>
    </row>
    <row r="17" spans="1:162" ht="14" customHeight="1" x14ac:dyDescent="0.15">
      <c r="A17" s="226"/>
      <c r="B17" s="16">
        <v>15</v>
      </c>
      <c r="C17" s="226"/>
      <c r="D17" s="208"/>
      <c r="E17" s="230"/>
      <c r="F17" s="208"/>
      <c r="G17" s="204" t="s">
        <v>268</v>
      </c>
      <c r="H17" s="204" t="s">
        <v>368</v>
      </c>
      <c r="I17" s="18"/>
      <c r="J17" s="19"/>
      <c r="K17" s="17"/>
      <c r="L17" s="17"/>
      <c r="M17" s="17">
        <v>78</v>
      </c>
      <c r="N17" s="195"/>
      <c r="O17" s="249"/>
      <c r="P17" s="196"/>
      <c r="Q17" s="258"/>
      <c r="R17" s="195"/>
      <c r="S17" s="195"/>
      <c r="T17" s="195"/>
      <c r="U17" s="195"/>
      <c r="V17" s="195"/>
      <c r="W17" s="195"/>
      <c r="X17" s="195"/>
      <c r="Y17" s="195"/>
      <c r="Z17" s="195"/>
      <c r="AA17" s="195"/>
      <c r="AB17" s="279"/>
      <c r="AC17" s="196"/>
      <c r="AD17" s="161"/>
      <c r="AE17" s="192"/>
      <c r="AF17" s="184" t="s">
        <v>404</v>
      </c>
      <c r="AG17" s="22" t="s">
        <v>341</v>
      </c>
      <c r="AH17" s="158"/>
      <c r="AI17" s="158"/>
      <c r="AJ17" s="21">
        <v>83</v>
      </c>
      <c r="AK17" s="271"/>
      <c r="AL17" s="217"/>
      <c r="AM17" s="21"/>
      <c r="AN17" s="21">
        <v>3917</v>
      </c>
      <c r="AO17" s="21">
        <v>258</v>
      </c>
      <c r="AP17" s="21">
        <v>0.51</v>
      </c>
      <c r="AQ17" s="21"/>
      <c r="AR17" s="21">
        <v>6.6</v>
      </c>
      <c r="AS17" s="21">
        <f t="shared" si="1"/>
        <v>25465.574999999997</v>
      </c>
      <c r="AT17" s="184"/>
      <c r="AU17" s="21">
        <v>67900</v>
      </c>
      <c r="AV17" s="23" t="s">
        <v>510</v>
      </c>
      <c r="AW17" s="23"/>
      <c r="AX17" s="23" t="s">
        <v>517</v>
      </c>
      <c r="AY17" s="30">
        <v>1.4770000000000001</v>
      </c>
      <c r="AZ17" s="21">
        <v>1477</v>
      </c>
      <c r="BA17" s="23"/>
      <c r="BB17" s="165">
        <f>275+13</f>
        <v>288</v>
      </c>
      <c r="BC17" s="165">
        <v>269</v>
      </c>
      <c r="BD17" s="165">
        <v>13</v>
      </c>
      <c r="BE17" s="165">
        <f>166+142</f>
        <v>308</v>
      </c>
      <c r="BF17" s="171" t="s">
        <v>549</v>
      </c>
      <c r="BG17" s="171" t="s">
        <v>628</v>
      </c>
      <c r="BH17" s="184">
        <v>300</v>
      </c>
      <c r="BI17" s="21"/>
      <c r="BJ17" s="158"/>
      <c r="BK17" s="21"/>
      <c r="BL17" s="21">
        <v>58.804000000000002</v>
      </c>
      <c r="BM17" s="21">
        <v>8.5</v>
      </c>
      <c r="BN17" s="21"/>
      <c r="BO17" s="23" t="s">
        <v>647</v>
      </c>
      <c r="BP17" s="23"/>
      <c r="BQ17" s="240"/>
      <c r="BR17" s="98">
        <v>10900</v>
      </c>
      <c r="BS17" s="98">
        <v>11500</v>
      </c>
      <c r="BT17" s="100"/>
      <c r="BU17" s="100"/>
      <c r="BV17" s="100"/>
      <c r="BW17" s="100">
        <v>141</v>
      </c>
      <c r="BX17" s="100">
        <v>108</v>
      </c>
      <c r="BY17" s="100"/>
      <c r="BZ17" s="100"/>
      <c r="CA17" s="100"/>
      <c r="CB17" s="100"/>
      <c r="CC17" s="100"/>
      <c r="CD17" s="100"/>
      <c r="CE17" s="127"/>
      <c r="CF17" s="100"/>
      <c r="CG17" s="100"/>
      <c r="CH17" s="100"/>
      <c r="CI17" s="100"/>
      <c r="CJ17" s="100"/>
      <c r="CK17" s="100"/>
      <c r="CL17" s="100"/>
      <c r="CM17" s="100"/>
      <c r="CN17" s="100"/>
      <c r="CO17" s="100"/>
      <c r="CP17" s="100">
        <v>8655</v>
      </c>
      <c r="CQ17" s="100">
        <v>8810</v>
      </c>
      <c r="CR17" s="100"/>
      <c r="CS17" s="100"/>
      <c r="CT17" s="100"/>
      <c r="CU17" s="100"/>
      <c r="CV17" s="100"/>
      <c r="CW17" s="177"/>
      <c r="CX17" s="235"/>
      <c r="CY17" s="235"/>
      <c r="CZ17" s="237"/>
      <c r="DA17"/>
    </row>
    <row r="18" spans="1:162" ht="14" customHeight="1" x14ac:dyDescent="0.15">
      <c r="A18" s="226"/>
      <c r="B18" s="16">
        <v>16</v>
      </c>
      <c r="C18" s="226"/>
      <c r="D18" s="208"/>
      <c r="E18" s="230"/>
      <c r="F18" s="208"/>
      <c r="G18" s="203"/>
      <c r="H18" s="201"/>
      <c r="I18" s="18"/>
      <c r="J18" s="19"/>
      <c r="K18" s="17"/>
      <c r="L18" s="17"/>
      <c r="M18" s="17">
        <v>78</v>
      </c>
      <c r="N18" s="195"/>
      <c r="O18" s="249"/>
      <c r="P18" s="196"/>
      <c r="Q18" s="258"/>
      <c r="R18" s="195"/>
      <c r="S18" s="195"/>
      <c r="T18" s="195"/>
      <c r="U18" s="195"/>
      <c r="V18" s="195"/>
      <c r="W18" s="195"/>
      <c r="X18" s="195"/>
      <c r="Y18" s="195"/>
      <c r="Z18" s="195"/>
      <c r="AA18" s="195"/>
      <c r="AB18" s="279"/>
      <c r="AC18" s="196"/>
      <c r="AD18" s="161"/>
      <c r="AE18" s="192"/>
      <c r="AF18" s="184"/>
      <c r="AG18" s="22" t="s">
        <v>343</v>
      </c>
      <c r="AH18" s="158"/>
      <c r="AI18" s="158"/>
      <c r="AJ18" s="21">
        <v>64</v>
      </c>
      <c r="AK18" s="271"/>
      <c r="AL18" s="217"/>
      <c r="AM18" s="21"/>
      <c r="AN18" s="21">
        <v>1163</v>
      </c>
      <c r="AO18" s="21">
        <v>27</v>
      </c>
      <c r="AP18" s="21">
        <v>0.4</v>
      </c>
      <c r="AQ18" s="21"/>
      <c r="AR18" s="21">
        <v>479.6</v>
      </c>
      <c r="AS18" s="21">
        <f t="shared" si="1"/>
        <v>27181.199999999997</v>
      </c>
      <c r="AT18" s="184"/>
      <c r="AU18" s="21">
        <v>61700</v>
      </c>
      <c r="AV18" s="23" t="s">
        <v>510</v>
      </c>
      <c r="AW18" s="23"/>
      <c r="AX18" s="23" t="s">
        <v>517</v>
      </c>
      <c r="AY18" s="30">
        <v>1.4930000000000001</v>
      </c>
      <c r="AZ18" s="21">
        <v>1493</v>
      </c>
      <c r="BA18" s="23"/>
      <c r="BB18" s="164"/>
      <c r="BC18" s="164"/>
      <c r="BD18" s="164"/>
      <c r="BE18" s="164"/>
      <c r="BF18" s="171"/>
      <c r="BG18" s="171"/>
      <c r="BH18" s="184"/>
      <c r="BI18" s="21"/>
      <c r="BJ18" s="158"/>
      <c r="BK18" s="21"/>
      <c r="BL18" s="21">
        <v>53.521000000000001</v>
      </c>
      <c r="BM18" s="21">
        <v>8.76</v>
      </c>
      <c r="BN18" s="21"/>
      <c r="BO18" s="23" t="s">
        <v>646</v>
      </c>
      <c r="BP18" s="23"/>
      <c r="BQ18" s="240"/>
      <c r="BR18" s="98">
        <v>10700</v>
      </c>
      <c r="BS18" s="98">
        <v>11050</v>
      </c>
      <c r="BT18" s="100"/>
      <c r="BU18" s="100"/>
      <c r="BV18" s="100"/>
      <c r="BW18" s="100">
        <v>140</v>
      </c>
      <c r="BX18" s="100">
        <v>104.5</v>
      </c>
      <c r="BY18" s="100"/>
      <c r="BZ18" s="100"/>
      <c r="CA18" s="100"/>
      <c r="CB18" s="100"/>
      <c r="CC18" s="100"/>
      <c r="CD18" s="100"/>
      <c r="CE18" s="127"/>
      <c r="CF18" s="100"/>
      <c r="CG18" s="100"/>
      <c r="CH18" s="100"/>
      <c r="CI18" s="100"/>
      <c r="CJ18" s="100"/>
      <c r="CK18" s="100"/>
      <c r="CL18" s="100"/>
      <c r="CM18" s="100"/>
      <c r="CN18" s="100"/>
      <c r="CO18" s="100"/>
      <c r="CP18" s="100">
        <v>7605</v>
      </c>
      <c r="CQ18" s="100">
        <v>7970</v>
      </c>
      <c r="CR18" s="100"/>
      <c r="CS18" s="100"/>
      <c r="CT18" s="100"/>
      <c r="CU18" s="100"/>
      <c r="CV18" s="100"/>
      <c r="CW18" s="177"/>
      <c r="CX18" s="235"/>
      <c r="CY18" s="235"/>
      <c r="CZ18" s="237"/>
      <c r="DA18"/>
    </row>
    <row r="19" spans="1:162" ht="14" customHeight="1" x14ac:dyDescent="0.15">
      <c r="A19" s="226"/>
      <c r="B19" s="16">
        <v>17</v>
      </c>
      <c r="C19" s="226"/>
      <c r="D19" s="208"/>
      <c r="E19" s="230"/>
      <c r="F19" s="208"/>
      <c r="G19" s="204" t="s">
        <v>521</v>
      </c>
      <c r="H19" s="201"/>
      <c r="I19" s="18"/>
      <c r="J19" s="19" t="s">
        <v>308</v>
      </c>
      <c r="K19" s="17">
        <v>33.4</v>
      </c>
      <c r="L19" s="17"/>
      <c r="M19" s="17">
        <v>70</v>
      </c>
      <c r="N19" s="195"/>
      <c r="O19" s="249"/>
      <c r="P19" s="196"/>
      <c r="Q19" s="258"/>
      <c r="R19" s="195"/>
      <c r="S19" s="195"/>
      <c r="T19" s="195"/>
      <c r="U19" s="195"/>
      <c r="V19" s="195"/>
      <c r="W19" s="195"/>
      <c r="X19" s="195"/>
      <c r="Y19" s="195"/>
      <c r="Z19" s="195"/>
      <c r="AA19" s="195"/>
      <c r="AB19" s="279"/>
      <c r="AC19" s="196"/>
      <c r="AD19" s="161"/>
      <c r="AE19" s="192"/>
      <c r="AF19" s="184" t="s">
        <v>405</v>
      </c>
      <c r="AG19" s="22" t="s">
        <v>410</v>
      </c>
      <c r="AH19" s="158"/>
      <c r="AI19" s="158"/>
      <c r="AJ19" s="21">
        <v>20</v>
      </c>
      <c r="AK19" s="271"/>
      <c r="AL19" s="217"/>
      <c r="AM19" s="21"/>
      <c r="AN19" s="21">
        <v>2476.6</v>
      </c>
      <c r="AO19" s="21">
        <v>116.8</v>
      </c>
      <c r="AP19" s="21"/>
      <c r="AQ19" s="21"/>
      <c r="AR19" s="21"/>
      <c r="AS19" s="21">
        <f t="shared" si="1"/>
        <v>13914.8</v>
      </c>
      <c r="AT19" s="184"/>
      <c r="AU19" s="21">
        <v>81992</v>
      </c>
      <c r="AV19" s="23" t="s">
        <v>532</v>
      </c>
      <c r="AW19" s="23"/>
      <c r="AX19" s="23" t="s">
        <v>516</v>
      </c>
      <c r="AY19" s="30">
        <v>1.59</v>
      </c>
      <c r="AZ19" s="21">
        <v>1590</v>
      </c>
      <c r="BA19" s="23"/>
      <c r="BB19" s="165">
        <f>115+168</f>
        <v>283</v>
      </c>
      <c r="BC19" s="165">
        <v>278</v>
      </c>
      <c r="BD19" s="165">
        <v>2.2000000000000002</v>
      </c>
      <c r="BE19" s="165">
        <v>0</v>
      </c>
      <c r="BF19" s="171" t="s">
        <v>453</v>
      </c>
      <c r="BG19" s="168" t="s">
        <v>622</v>
      </c>
      <c r="BH19" s="165">
        <v>2300</v>
      </c>
      <c r="BI19" s="21"/>
      <c r="BJ19" s="158"/>
      <c r="BK19" s="21"/>
      <c r="BL19" s="21">
        <v>61.454999999999998</v>
      </c>
      <c r="BM19" s="21">
        <v>3.5129999999999999</v>
      </c>
      <c r="BN19" s="21"/>
      <c r="BO19" s="23" t="s">
        <v>645</v>
      </c>
      <c r="BP19" s="23"/>
      <c r="BQ19" s="240"/>
      <c r="BR19" s="98">
        <v>9280</v>
      </c>
      <c r="BS19" s="98">
        <v>14000</v>
      </c>
      <c r="BT19" s="100"/>
      <c r="BU19" s="100"/>
      <c r="BV19" s="100"/>
      <c r="BW19" s="100">
        <v>89.5</v>
      </c>
      <c r="BX19" s="100">
        <v>86.95</v>
      </c>
      <c r="BY19" s="100"/>
      <c r="BZ19" s="100"/>
      <c r="CA19" s="100"/>
      <c r="CB19" s="100"/>
      <c r="CC19" s="100"/>
      <c r="CD19" s="100"/>
      <c r="CE19" s="127"/>
      <c r="CF19" s="100"/>
      <c r="CG19" s="100"/>
      <c r="CH19" s="100"/>
      <c r="CI19" s="100"/>
      <c r="CJ19" s="100"/>
      <c r="CK19" s="100"/>
      <c r="CL19" s="100"/>
      <c r="CM19" s="100"/>
      <c r="CN19" s="100"/>
      <c r="CO19" s="100"/>
      <c r="CP19" s="100">
        <v>13650</v>
      </c>
      <c r="CQ19" s="100">
        <v>17150</v>
      </c>
      <c r="CR19" s="100"/>
      <c r="CS19" s="100"/>
      <c r="CT19" s="100"/>
      <c r="CU19" s="100"/>
      <c r="CV19" s="100"/>
      <c r="CW19" s="177"/>
      <c r="CX19" s="235"/>
      <c r="CY19" s="235"/>
      <c r="CZ19" s="237"/>
      <c r="DA19"/>
    </row>
    <row r="20" spans="1:162" ht="14" customHeight="1" x14ac:dyDescent="0.15">
      <c r="A20" s="226"/>
      <c r="B20" s="16">
        <v>18</v>
      </c>
      <c r="C20" s="226"/>
      <c r="D20" s="208"/>
      <c r="E20" s="230"/>
      <c r="F20" s="208"/>
      <c r="G20" s="203"/>
      <c r="H20" s="201"/>
      <c r="I20" s="18"/>
      <c r="J20" s="19" t="s">
        <v>406</v>
      </c>
      <c r="K20" s="17">
        <v>23.3</v>
      </c>
      <c r="L20" s="17"/>
      <c r="M20" s="17">
        <v>66</v>
      </c>
      <c r="N20" s="195"/>
      <c r="O20" s="249"/>
      <c r="P20" s="196"/>
      <c r="Q20" s="258"/>
      <c r="R20" s="195"/>
      <c r="S20" s="195"/>
      <c r="T20" s="195"/>
      <c r="U20" s="195"/>
      <c r="V20" s="195"/>
      <c r="W20" s="195"/>
      <c r="X20" s="195"/>
      <c r="Y20" s="195"/>
      <c r="Z20" s="195"/>
      <c r="AA20" s="195"/>
      <c r="AB20" s="279"/>
      <c r="AC20" s="196"/>
      <c r="AD20" s="161"/>
      <c r="AE20" s="192"/>
      <c r="AF20" s="184"/>
      <c r="AG20" s="22" t="s">
        <v>409</v>
      </c>
      <c r="AH20" s="158"/>
      <c r="AI20" s="158"/>
      <c r="AJ20" s="21">
        <v>60</v>
      </c>
      <c r="AK20" s="271"/>
      <c r="AL20" s="217"/>
      <c r="AM20" s="21"/>
      <c r="AN20" s="21">
        <v>845.4</v>
      </c>
      <c r="AO20" s="21">
        <v>225.8</v>
      </c>
      <c r="AP20" s="21"/>
      <c r="AQ20" s="21"/>
      <c r="AR20" s="21"/>
      <c r="AS20" s="21">
        <f t="shared" si="1"/>
        <v>12707.68</v>
      </c>
      <c r="AT20" s="184"/>
      <c r="AU20" s="21">
        <v>101031</v>
      </c>
      <c r="AV20" s="23" t="s">
        <v>515</v>
      </c>
      <c r="AW20" s="23"/>
      <c r="AX20" s="23" t="s">
        <v>516</v>
      </c>
      <c r="AY20" s="30">
        <v>1.671</v>
      </c>
      <c r="AZ20" s="21">
        <v>1671</v>
      </c>
      <c r="BA20" s="23"/>
      <c r="BB20" s="158"/>
      <c r="BC20" s="158"/>
      <c r="BD20" s="158"/>
      <c r="BE20" s="158"/>
      <c r="BF20" s="171"/>
      <c r="BG20" s="166"/>
      <c r="BH20" s="158"/>
      <c r="BI20" s="21"/>
      <c r="BJ20" s="158"/>
      <c r="BK20" s="21"/>
      <c r="BL20" s="21">
        <v>67.441000000000003</v>
      </c>
      <c r="BM20" s="21">
        <v>4.2300000000000004</v>
      </c>
      <c r="BN20" s="21"/>
      <c r="BO20" s="23" t="s">
        <v>644</v>
      </c>
      <c r="BP20" s="23"/>
      <c r="BQ20" s="240"/>
      <c r="BR20" s="98">
        <v>9200</v>
      </c>
      <c r="BS20" s="98">
        <v>14300</v>
      </c>
      <c r="BT20" s="100"/>
      <c r="BU20" s="100"/>
      <c r="BV20" s="100"/>
      <c r="BW20" s="100">
        <v>98.15</v>
      </c>
      <c r="BX20" s="100">
        <v>94.9</v>
      </c>
      <c r="BY20" s="100"/>
      <c r="BZ20" s="100"/>
      <c r="CA20" s="100"/>
      <c r="CB20" s="100"/>
      <c r="CC20" s="100"/>
      <c r="CD20" s="100"/>
      <c r="CE20" s="127"/>
      <c r="CF20" s="100"/>
      <c r="CG20" s="100"/>
      <c r="CH20" s="100"/>
      <c r="CI20" s="100"/>
      <c r="CJ20" s="100"/>
      <c r="CK20" s="100"/>
      <c r="CL20" s="100"/>
      <c r="CM20" s="100"/>
      <c r="CN20" s="100"/>
      <c r="CO20" s="100"/>
      <c r="CP20" s="100">
        <v>8465</v>
      </c>
      <c r="CQ20" s="100">
        <v>13700</v>
      </c>
      <c r="CR20" s="100"/>
      <c r="CS20" s="100"/>
      <c r="CT20" s="100"/>
      <c r="CU20" s="100"/>
      <c r="CV20" s="100"/>
      <c r="CW20" s="177"/>
      <c r="CX20" s="235"/>
      <c r="CY20" s="235"/>
      <c r="CZ20" s="237"/>
      <c r="DA20"/>
    </row>
    <row r="21" spans="1:162" s="60" customFormat="1" ht="14" customHeight="1" thickBot="1" x14ac:dyDescent="0.2">
      <c r="A21" s="227"/>
      <c r="B21" s="47">
        <v>19</v>
      </c>
      <c r="C21" s="227"/>
      <c r="D21" s="209"/>
      <c r="E21" s="231"/>
      <c r="F21" s="209"/>
      <c r="G21" s="50" t="s">
        <v>268</v>
      </c>
      <c r="H21" s="202"/>
      <c r="I21" s="51"/>
      <c r="J21" s="52" t="s">
        <v>308</v>
      </c>
      <c r="K21" s="50">
        <v>83.2</v>
      </c>
      <c r="L21" s="50"/>
      <c r="M21" s="50">
        <v>80</v>
      </c>
      <c r="N21" s="187"/>
      <c r="O21" s="244"/>
      <c r="P21" s="174"/>
      <c r="Q21" s="189"/>
      <c r="R21" s="187"/>
      <c r="S21" s="187"/>
      <c r="T21" s="187"/>
      <c r="U21" s="187"/>
      <c r="V21" s="187"/>
      <c r="W21" s="187"/>
      <c r="X21" s="187"/>
      <c r="Y21" s="187"/>
      <c r="Z21" s="187"/>
      <c r="AA21" s="187"/>
      <c r="AB21" s="280"/>
      <c r="AC21" s="174"/>
      <c r="AD21" s="160"/>
      <c r="AE21" s="192"/>
      <c r="AF21" s="185"/>
      <c r="AG21" s="57" t="s">
        <v>345</v>
      </c>
      <c r="AH21" s="157"/>
      <c r="AI21" s="157"/>
      <c r="AJ21" s="56">
        <v>30</v>
      </c>
      <c r="AK21" s="270"/>
      <c r="AL21" s="215"/>
      <c r="AM21" s="56"/>
      <c r="AN21" s="56">
        <v>2641</v>
      </c>
      <c r="AO21" s="56">
        <v>320.10000000000002</v>
      </c>
      <c r="AP21" s="56"/>
      <c r="AQ21" s="56"/>
      <c r="AR21" s="56"/>
      <c r="AS21" s="56">
        <f t="shared" si="1"/>
        <v>23207.88</v>
      </c>
      <c r="AT21" s="185"/>
      <c r="AU21" s="56">
        <v>118935</v>
      </c>
      <c r="AV21" s="58" t="s">
        <v>515</v>
      </c>
      <c r="AW21" s="58"/>
      <c r="AX21" s="58" t="s">
        <v>516</v>
      </c>
      <c r="AY21" s="59">
        <v>1.2509999999999999</v>
      </c>
      <c r="AZ21" s="56">
        <v>1251</v>
      </c>
      <c r="BA21" s="58"/>
      <c r="BB21" s="157"/>
      <c r="BC21" s="157"/>
      <c r="BD21" s="157"/>
      <c r="BE21" s="157"/>
      <c r="BF21" s="172"/>
      <c r="BG21" s="169"/>
      <c r="BH21" s="157"/>
      <c r="BI21" s="56"/>
      <c r="BJ21" s="157"/>
      <c r="BK21" s="56"/>
      <c r="BL21" s="56">
        <v>44.527000000000001</v>
      </c>
      <c r="BM21" s="56">
        <v>2.875</v>
      </c>
      <c r="BN21" s="56"/>
      <c r="BO21" s="58" t="s">
        <v>643</v>
      </c>
      <c r="BP21" s="58"/>
      <c r="BQ21" s="241"/>
      <c r="BR21" s="90">
        <v>7285</v>
      </c>
      <c r="BS21" s="90">
        <v>11500</v>
      </c>
      <c r="BT21" s="89"/>
      <c r="BU21" s="89"/>
      <c r="BV21" s="89"/>
      <c r="BW21" s="89">
        <v>70.05</v>
      </c>
      <c r="BX21" s="89">
        <v>128</v>
      </c>
      <c r="BY21" s="89"/>
      <c r="BZ21" s="89"/>
      <c r="CA21" s="89"/>
      <c r="CB21" s="89"/>
      <c r="CC21" s="89"/>
      <c r="CD21" s="89"/>
      <c r="CE21" s="128"/>
      <c r="CF21" s="89"/>
      <c r="CG21" s="89"/>
      <c r="CH21" s="89"/>
      <c r="CI21" s="89"/>
      <c r="CJ21" s="89"/>
      <c r="CK21" s="89"/>
      <c r="CL21" s="89"/>
      <c r="CM21" s="89"/>
      <c r="CN21" s="89"/>
      <c r="CO21" s="89"/>
      <c r="CP21" s="89">
        <v>6730</v>
      </c>
      <c r="CQ21" s="89">
        <v>10700</v>
      </c>
      <c r="CR21" s="89"/>
      <c r="CS21" s="89"/>
      <c r="CT21" s="89"/>
      <c r="CU21" s="89"/>
      <c r="CV21" s="89"/>
      <c r="CW21" s="176"/>
      <c r="CX21" s="234"/>
      <c r="CY21" s="234"/>
      <c r="CZ21" s="238"/>
      <c r="DA21" s="32"/>
      <c r="DB21" s="32"/>
      <c r="DC21" s="32"/>
      <c r="DD21" s="32"/>
      <c r="DE21" s="32"/>
      <c r="DF21" s="32"/>
      <c r="DG21" s="32"/>
      <c r="DH21" s="32"/>
      <c r="DI21" s="32"/>
      <c r="DJ21" s="32"/>
      <c r="DK21" s="32"/>
      <c r="DL21" s="32"/>
      <c r="DM21" s="32"/>
      <c r="DN21" s="32"/>
      <c r="DO21" s="32"/>
      <c r="DP21" s="32"/>
      <c r="DQ21" s="32"/>
      <c r="DR21" s="32"/>
      <c r="DS21" s="32"/>
      <c r="DT21" s="32"/>
      <c r="DU21" s="32"/>
      <c r="DV21" s="32"/>
      <c r="DW21" s="32"/>
      <c r="DX21" s="32"/>
      <c r="DY21" s="32"/>
      <c r="DZ21" s="32"/>
      <c r="EA21" s="32"/>
      <c r="EB21" s="32"/>
      <c r="EC21" s="32"/>
      <c r="ED21" s="32"/>
      <c r="EE21" s="32"/>
      <c r="EF21" s="32"/>
      <c r="EG21" s="32"/>
      <c r="EH21" s="32"/>
      <c r="EI21" s="32"/>
      <c r="EJ21" s="32"/>
      <c r="EK21" s="32"/>
      <c r="EL21" s="32"/>
      <c r="EM21" s="32"/>
      <c r="EN21" s="32"/>
      <c r="EO21" s="32"/>
      <c r="EP21" s="32"/>
      <c r="EQ21" s="32"/>
      <c r="ER21" s="32"/>
      <c r="ES21" s="32"/>
      <c r="ET21" s="32"/>
      <c r="EU21" s="32"/>
      <c r="EV21" s="32"/>
      <c r="EW21" s="32"/>
      <c r="EX21" s="32"/>
      <c r="EY21" s="32"/>
      <c r="EZ21" s="32"/>
      <c r="FA21" s="32"/>
      <c r="FB21" s="32"/>
      <c r="FC21" s="32"/>
      <c r="FD21" s="32"/>
      <c r="FE21" s="32"/>
      <c r="FF21" s="32"/>
    </row>
    <row r="22" spans="1:162" s="46" customFormat="1" ht="14" customHeight="1" x14ac:dyDescent="0.15">
      <c r="A22" s="259">
        <v>9</v>
      </c>
      <c r="B22" s="28">
        <v>20</v>
      </c>
      <c r="C22" s="198">
        <v>2017</v>
      </c>
      <c r="D22" s="210" t="s">
        <v>274</v>
      </c>
      <c r="E22" s="232" t="s">
        <v>275</v>
      </c>
      <c r="F22" s="210" t="s">
        <v>327</v>
      </c>
      <c r="G22" s="77" t="s">
        <v>268</v>
      </c>
      <c r="H22" s="77" t="s">
        <v>368</v>
      </c>
      <c r="I22" s="77"/>
      <c r="J22" s="77"/>
      <c r="K22" s="77"/>
      <c r="L22" s="77"/>
      <c r="M22" s="77"/>
      <c r="N22" s="186" t="s">
        <v>267</v>
      </c>
      <c r="O22" s="243" t="s">
        <v>337</v>
      </c>
      <c r="P22" s="186">
        <v>1000</v>
      </c>
      <c r="Q22" s="186" t="s">
        <v>538</v>
      </c>
      <c r="R22" s="186" t="s">
        <v>267</v>
      </c>
      <c r="S22" s="186" t="s">
        <v>267</v>
      </c>
      <c r="T22" s="186" t="s">
        <v>270</v>
      </c>
      <c r="U22" s="186" t="s">
        <v>270</v>
      </c>
      <c r="V22" s="186" t="s">
        <v>270</v>
      </c>
      <c r="W22" s="186" t="s">
        <v>270</v>
      </c>
      <c r="X22" s="186" t="s">
        <v>267</v>
      </c>
      <c r="Y22" s="173"/>
      <c r="Z22" s="173" t="s">
        <v>428</v>
      </c>
      <c r="AA22" s="186" t="s">
        <v>267</v>
      </c>
      <c r="AB22" s="277" t="s">
        <v>338</v>
      </c>
      <c r="AC22" s="197">
        <v>6</v>
      </c>
      <c r="AD22" s="159"/>
      <c r="AE22" s="192"/>
      <c r="AF22" s="211" t="s">
        <v>460</v>
      </c>
      <c r="AG22" s="214" t="s">
        <v>336</v>
      </c>
      <c r="AH22" s="156">
        <v>2014</v>
      </c>
      <c r="AI22" s="156">
        <v>11</v>
      </c>
      <c r="AJ22" s="80">
        <v>6</v>
      </c>
      <c r="AK22" s="272"/>
      <c r="AL22" s="214" t="s">
        <v>535</v>
      </c>
      <c r="AM22" s="80">
        <v>2380</v>
      </c>
      <c r="AN22" s="27">
        <v>644</v>
      </c>
      <c r="AO22" s="27">
        <v>160</v>
      </c>
      <c r="AP22" s="27"/>
      <c r="AQ22" s="27"/>
      <c r="AR22" s="27"/>
      <c r="AS22" s="27">
        <f t="shared" si="1"/>
        <v>9166.4</v>
      </c>
      <c r="AT22" s="27"/>
      <c r="AU22" s="27"/>
      <c r="AV22" s="38" t="s">
        <v>492</v>
      </c>
      <c r="AW22" s="38" t="s">
        <v>493</v>
      </c>
      <c r="AX22" s="38"/>
      <c r="AY22" s="45">
        <v>1.55</v>
      </c>
      <c r="AZ22" s="27">
        <v>1552</v>
      </c>
      <c r="BA22" s="38"/>
      <c r="BB22" s="27">
        <v>150</v>
      </c>
      <c r="BC22" s="27">
        <v>300</v>
      </c>
      <c r="BD22" s="27">
        <v>20</v>
      </c>
      <c r="BE22" s="27">
        <v>20</v>
      </c>
      <c r="BF22" s="38" t="s">
        <v>551</v>
      </c>
      <c r="BG22" s="190" t="s">
        <v>623</v>
      </c>
      <c r="BH22" s="156">
        <v>1300</v>
      </c>
      <c r="BI22" s="156">
        <v>1.4</v>
      </c>
      <c r="BJ22" s="158" t="s">
        <v>270</v>
      </c>
      <c r="BK22" s="27"/>
      <c r="BL22" s="27">
        <v>15.4</v>
      </c>
      <c r="BM22" s="27">
        <v>52.5</v>
      </c>
      <c r="BN22" s="27"/>
      <c r="BO22" s="38" t="s">
        <v>522</v>
      </c>
      <c r="BP22" s="38"/>
      <c r="BQ22" s="239">
        <v>6</v>
      </c>
      <c r="BR22" s="95">
        <v>5390</v>
      </c>
      <c r="BS22" s="95">
        <v>9780</v>
      </c>
      <c r="BT22" s="96"/>
      <c r="BU22" s="96">
        <v>47.8</v>
      </c>
      <c r="BV22" s="96">
        <v>88.8</v>
      </c>
      <c r="BW22" s="96">
        <v>81.099999999999994</v>
      </c>
      <c r="BX22" s="96">
        <v>131</v>
      </c>
      <c r="BY22" s="96"/>
      <c r="BZ22" s="96"/>
      <c r="CA22" s="96">
        <v>3090</v>
      </c>
      <c r="CB22" s="96">
        <v>4590</v>
      </c>
      <c r="CC22" s="96"/>
      <c r="CD22" s="96"/>
      <c r="CE22" s="96"/>
      <c r="CF22" s="96"/>
      <c r="CG22" s="96"/>
      <c r="CH22" s="96"/>
      <c r="CI22" s="96">
        <v>5900</v>
      </c>
      <c r="CJ22" s="96">
        <v>10100</v>
      </c>
      <c r="CK22" s="96"/>
      <c r="CL22" s="96" t="s">
        <v>382</v>
      </c>
      <c r="CM22" s="96"/>
      <c r="CN22" s="96"/>
      <c r="CO22" s="96"/>
      <c r="CP22" s="96"/>
      <c r="CQ22" s="96"/>
      <c r="CR22" s="96"/>
      <c r="CS22" s="96"/>
      <c r="CT22" s="96"/>
      <c r="CU22" s="96"/>
      <c r="CV22" s="96"/>
      <c r="CW22" s="267"/>
      <c r="CX22" s="233" t="s">
        <v>527</v>
      </c>
      <c r="CY22" s="233" t="s">
        <v>267</v>
      </c>
      <c r="CZ22" s="261" t="s">
        <v>584</v>
      </c>
      <c r="DA22"/>
      <c r="DB22" s="32"/>
      <c r="DC22" s="32"/>
      <c r="DD22" s="32"/>
      <c r="DE22" s="32"/>
      <c r="DF22" s="32"/>
      <c r="DG22" s="32"/>
      <c r="DH22" s="32"/>
      <c r="DI22" s="32"/>
      <c r="DJ22" s="32"/>
      <c r="DK22" s="32"/>
      <c r="DL22" s="32"/>
      <c r="DM22" s="32"/>
      <c r="DN22" s="32"/>
      <c r="DO22" s="32"/>
      <c r="DP22" s="32"/>
      <c r="DQ22" s="32"/>
      <c r="DR22" s="32"/>
      <c r="DS22" s="32"/>
      <c r="DT22" s="32"/>
      <c r="DU22" s="32"/>
      <c r="DV22" s="32"/>
      <c r="DW22" s="32"/>
      <c r="DX22" s="32"/>
      <c r="DY22" s="32"/>
      <c r="DZ22" s="32"/>
      <c r="EA22" s="32"/>
      <c r="EB22" s="32"/>
      <c r="EC22" s="32"/>
      <c r="ED22" s="32"/>
      <c r="EE22" s="32"/>
      <c r="EF22" s="32"/>
      <c r="EG22" s="32"/>
      <c r="EH22" s="32"/>
      <c r="EI22" s="32"/>
      <c r="EJ22" s="32"/>
      <c r="EK22" s="32"/>
      <c r="EL22" s="32"/>
      <c r="EM22" s="32"/>
      <c r="EN22" s="32"/>
      <c r="EO22" s="32"/>
      <c r="EP22" s="32"/>
      <c r="EQ22" s="32"/>
      <c r="ER22" s="32"/>
      <c r="ES22" s="32"/>
      <c r="ET22" s="32"/>
      <c r="EU22" s="32"/>
      <c r="EV22" s="32"/>
      <c r="EW22" s="32"/>
      <c r="EX22" s="32"/>
      <c r="EY22" s="32"/>
      <c r="EZ22" s="32"/>
      <c r="FA22" s="32"/>
      <c r="FB22" s="32"/>
      <c r="FC22" s="32"/>
      <c r="FD22" s="32"/>
      <c r="FE22" s="32"/>
      <c r="FF22" s="32"/>
    </row>
    <row r="23" spans="1:162" s="60" customFormat="1" ht="14" customHeight="1" thickBot="1" x14ac:dyDescent="0.2">
      <c r="A23" s="225"/>
      <c r="B23" s="47">
        <v>21</v>
      </c>
      <c r="C23" s="199"/>
      <c r="D23" s="209"/>
      <c r="E23" s="231"/>
      <c r="F23" s="209"/>
      <c r="G23" s="50" t="s">
        <v>521</v>
      </c>
      <c r="H23" s="50" t="s">
        <v>367</v>
      </c>
      <c r="I23" s="50"/>
      <c r="J23" s="50"/>
      <c r="K23" s="50"/>
      <c r="L23" s="50"/>
      <c r="M23" s="50"/>
      <c r="N23" s="187"/>
      <c r="O23" s="244"/>
      <c r="P23" s="187"/>
      <c r="Q23" s="187"/>
      <c r="R23" s="187"/>
      <c r="S23" s="187"/>
      <c r="T23" s="187"/>
      <c r="U23" s="187"/>
      <c r="V23" s="187"/>
      <c r="W23" s="187"/>
      <c r="X23" s="187"/>
      <c r="Y23" s="174"/>
      <c r="Z23" s="174"/>
      <c r="AA23" s="187"/>
      <c r="AB23" s="278"/>
      <c r="AC23" s="174"/>
      <c r="AD23" s="160"/>
      <c r="AE23" s="192"/>
      <c r="AF23" s="185"/>
      <c r="AG23" s="215"/>
      <c r="AH23" s="157"/>
      <c r="AI23" s="157"/>
      <c r="AJ23" s="56">
        <v>5</v>
      </c>
      <c r="AK23" s="273"/>
      <c r="AL23" s="215"/>
      <c r="AM23" s="56">
        <v>30084</v>
      </c>
      <c r="AN23" s="56">
        <v>1690</v>
      </c>
      <c r="AO23" s="56">
        <v>367</v>
      </c>
      <c r="AP23" s="56"/>
      <c r="AQ23" s="56"/>
      <c r="AR23" s="56"/>
      <c r="AS23" s="56">
        <f t="shared" si="1"/>
        <v>21791.599999999999</v>
      </c>
      <c r="AT23" s="56"/>
      <c r="AU23" s="56"/>
      <c r="AV23" s="58" t="s">
        <v>494</v>
      </c>
      <c r="AW23" s="58" t="s">
        <v>495</v>
      </c>
      <c r="AX23" s="58"/>
      <c r="AY23" s="59">
        <v>2.31</v>
      </c>
      <c r="AZ23" s="56">
        <v>1625</v>
      </c>
      <c r="BA23" s="58" t="s">
        <v>443</v>
      </c>
      <c r="BB23" s="56">
        <v>200</v>
      </c>
      <c r="BC23" s="56">
        <v>250</v>
      </c>
      <c r="BD23" s="56">
        <v>20</v>
      </c>
      <c r="BE23" s="56">
        <v>50</v>
      </c>
      <c r="BF23" s="58" t="s">
        <v>471</v>
      </c>
      <c r="BG23" s="169"/>
      <c r="BH23" s="157"/>
      <c r="BI23" s="157"/>
      <c r="BJ23" s="157"/>
      <c r="BK23" s="56"/>
      <c r="BL23" s="56">
        <v>7.7</v>
      </c>
      <c r="BM23" s="56">
        <v>14.3</v>
      </c>
      <c r="BN23" s="56"/>
      <c r="BO23" s="58" t="s">
        <v>523</v>
      </c>
      <c r="BP23" s="58" t="s">
        <v>479</v>
      </c>
      <c r="BQ23" s="241"/>
      <c r="BR23" s="90">
        <v>12300</v>
      </c>
      <c r="BS23" s="90">
        <v>10500</v>
      </c>
      <c r="BT23" s="89"/>
      <c r="BU23" s="89">
        <v>77.8</v>
      </c>
      <c r="BV23" s="89">
        <v>74.5</v>
      </c>
      <c r="BW23" s="89">
        <v>160</v>
      </c>
      <c r="BX23" s="89">
        <v>128</v>
      </c>
      <c r="BY23" s="89"/>
      <c r="BZ23" s="89"/>
      <c r="CA23" s="89">
        <v>13400</v>
      </c>
      <c r="CB23" s="89">
        <v>9130</v>
      </c>
      <c r="CC23" s="89"/>
      <c r="CD23" s="89"/>
      <c r="CE23" s="89"/>
      <c r="CF23" s="89"/>
      <c r="CG23" s="89"/>
      <c r="CH23" s="89"/>
      <c r="CI23" s="89">
        <v>28500</v>
      </c>
      <c r="CJ23" s="89">
        <v>20000</v>
      </c>
      <c r="CK23" s="89"/>
      <c r="CL23" s="89" t="s">
        <v>383</v>
      </c>
      <c r="CM23" s="89"/>
      <c r="CN23" s="89"/>
      <c r="CO23" s="89"/>
      <c r="CP23" s="89"/>
      <c r="CQ23" s="89"/>
      <c r="CR23" s="89"/>
      <c r="CS23" s="89"/>
      <c r="CT23" s="89"/>
      <c r="CU23" s="89"/>
      <c r="CV23" s="89"/>
      <c r="CW23" s="268"/>
      <c r="CX23" s="234"/>
      <c r="CY23" s="234"/>
      <c r="CZ23" s="238"/>
      <c r="DA23" s="32"/>
      <c r="DB23" s="32"/>
      <c r="DC23" s="32"/>
      <c r="DD23" s="32"/>
      <c r="DE23" s="32"/>
      <c r="DF23" s="32"/>
      <c r="DG23" s="32"/>
      <c r="DH23" s="32"/>
      <c r="DI23" s="32"/>
      <c r="DJ23" s="32"/>
      <c r="DK23" s="32"/>
      <c r="DL23" s="32"/>
      <c r="DM23" s="32"/>
      <c r="DN23" s="32"/>
      <c r="DO23" s="32"/>
      <c r="DP23" s="32"/>
      <c r="DQ23" s="32"/>
      <c r="DR23" s="32"/>
      <c r="DS23" s="32"/>
      <c r="DT23" s="32"/>
      <c r="DU23" s="32"/>
      <c r="DV23" s="32"/>
      <c r="DW23" s="32"/>
      <c r="DX23" s="32"/>
      <c r="DY23" s="32"/>
      <c r="DZ23" s="32"/>
      <c r="EA23" s="32"/>
      <c r="EB23" s="32"/>
      <c r="EC23" s="32"/>
      <c r="ED23" s="32"/>
      <c r="EE23" s="32"/>
      <c r="EF23" s="32"/>
      <c r="EG23" s="32"/>
      <c r="EH23" s="32"/>
      <c r="EI23" s="32"/>
      <c r="EJ23" s="32"/>
      <c r="EK23" s="32"/>
      <c r="EL23" s="32"/>
      <c r="EM23" s="32"/>
      <c r="EN23" s="32"/>
      <c r="EO23" s="32"/>
      <c r="EP23" s="32"/>
      <c r="EQ23" s="32"/>
      <c r="ER23" s="32"/>
      <c r="ES23" s="32"/>
      <c r="ET23" s="32"/>
      <c r="EU23" s="32"/>
      <c r="EV23" s="32"/>
      <c r="EW23" s="32"/>
      <c r="EX23" s="32"/>
      <c r="EY23" s="32"/>
      <c r="EZ23" s="32"/>
      <c r="FA23" s="32"/>
      <c r="FB23" s="32"/>
      <c r="FC23" s="32"/>
      <c r="FD23" s="32"/>
      <c r="FE23" s="32"/>
      <c r="FF23" s="32"/>
    </row>
    <row r="24" spans="1:162" s="46" customFormat="1" x14ac:dyDescent="0.15">
      <c r="A24" s="260">
        <v>10</v>
      </c>
      <c r="B24" s="28">
        <v>22</v>
      </c>
      <c r="C24" s="259">
        <v>2015</v>
      </c>
      <c r="D24" s="207" t="s">
        <v>276</v>
      </c>
      <c r="E24" s="229" t="s">
        <v>277</v>
      </c>
      <c r="F24" s="207" t="s">
        <v>237</v>
      </c>
      <c r="G24" s="205" t="s">
        <v>521</v>
      </c>
      <c r="H24" s="200" t="s">
        <v>367</v>
      </c>
      <c r="I24" s="43" t="s">
        <v>384</v>
      </c>
      <c r="J24" s="200" t="s">
        <v>366</v>
      </c>
      <c r="K24" s="109"/>
      <c r="L24" s="200" t="s">
        <v>585</v>
      </c>
      <c r="M24" s="109"/>
      <c r="N24" s="194" t="s">
        <v>267</v>
      </c>
      <c r="O24" s="248" t="s">
        <v>310</v>
      </c>
      <c r="P24" s="194">
        <v>1000</v>
      </c>
      <c r="Q24" s="194" t="s">
        <v>538</v>
      </c>
      <c r="R24" s="194" t="s">
        <v>267</v>
      </c>
      <c r="S24" s="194" t="s">
        <v>267</v>
      </c>
      <c r="T24" s="194" t="s">
        <v>270</v>
      </c>
      <c r="U24" s="194" t="s">
        <v>267</v>
      </c>
      <c r="V24" s="194" t="s">
        <v>270</v>
      </c>
      <c r="W24" s="194" t="s">
        <v>270</v>
      </c>
      <c r="X24" s="194" t="s">
        <v>539</v>
      </c>
      <c r="Y24" s="173" t="s">
        <v>267</v>
      </c>
      <c r="Z24" s="173" t="s">
        <v>399</v>
      </c>
      <c r="AA24" s="194" t="s">
        <v>267</v>
      </c>
      <c r="AB24" s="277" t="s">
        <v>392</v>
      </c>
      <c r="AC24" s="197">
        <v>3</v>
      </c>
      <c r="AD24" s="159" t="s">
        <v>655</v>
      </c>
      <c r="AE24" s="192"/>
      <c r="AF24" s="164" t="s">
        <v>405</v>
      </c>
      <c r="AG24" s="216" t="s">
        <v>411</v>
      </c>
      <c r="AH24" s="158">
        <v>2011</v>
      </c>
      <c r="AI24" s="156">
        <v>41</v>
      </c>
      <c r="AJ24" s="27">
        <v>21</v>
      </c>
      <c r="AK24" s="272"/>
      <c r="AL24" s="167" t="s">
        <v>293</v>
      </c>
      <c r="AM24" s="27">
        <v>28000</v>
      </c>
      <c r="AN24" s="27">
        <v>0</v>
      </c>
      <c r="AO24" s="27">
        <v>0</v>
      </c>
      <c r="AP24" s="27"/>
      <c r="AQ24" s="27"/>
      <c r="AR24" s="27"/>
      <c r="AS24" s="27">
        <f t="shared" si="1"/>
        <v>0</v>
      </c>
      <c r="AT24" s="184" t="s">
        <v>541</v>
      </c>
      <c r="AU24" s="27">
        <v>486000</v>
      </c>
      <c r="AV24" s="38" t="s">
        <v>502</v>
      </c>
      <c r="AW24" s="38" t="s">
        <v>502</v>
      </c>
      <c r="AX24" s="156" t="s">
        <v>502</v>
      </c>
      <c r="AY24" s="84">
        <v>0</v>
      </c>
      <c r="AZ24" s="80">
        <v>0</v>
      </c>
      <c r="BA24" s="38"/>
      <c r="BB24" s="180">
        <v>0</v>
      </c>
      <c r="BC24" s="181"/>
      <c r="BD24" s="181"/>
      <c r="BE24" s="181"/>
      <c r="BF24" s="181"/>
      <c r="BG24" s="181"/>
      <c r="BH24" s="181"/>
      <c r="BI24" s="181"/>
      <c r="BJ24" s="181"/>
      <c r="BK24" s="38"/>
      <c r="BL24" s="38">
        <v>-70</v>
      </c>
      <c r="BM24" s="38">
        <v>-7</v>
      </c>
      <c r="BN24" s="38"/>
      <c r="BO24" s="38"/>
      <c r="BP24" s="168" t="s">
        <v>480</v>
      </c>
      <c r="BQ24" s="239">
        <v>3</v>
      </c>
      <c r="BR24" s="95">
        <v>19800</v>
      </c>
      <c r="BS24" s="95"/>
      <c r="BT24" s="96"/>
      <c r="BU24" s="96">
        <v>9.14</v>
      </c>
      <c r="BV24" s="96"/>
      <c r="BW24" s="96">
        <v>1.44</v>
      </c>
      <c r="BX24" s="96"/>
      <c r="BY24" s="96"/>
      <c r="BZ24" s="96"/>
      <c r="CA24" s="96">
        <v>13400</v>
      </c>
      <c r="CB24" s="96"/>
      <c r="CC24" s="96"/>
      <c r="CD24" s="96"/>
      <c r="CE24" s="96"/>
      <c r="CF24" s="96"/>
      <c r="CG24" s="96"/>
      <c r="CH24" s="96"/>
      <c r="CI24" s="96"/>
      <c r="CJ24" s="96"/>
      <c r="CK24" s="96"/>
      <c r="CL24" s="96"/>
      <c r="CM24" s="96"/>
      <c r="CN24" s="96"/>
      <c r="CO24" s="96"/>
      <c r="CP24" s="96"/>
      <c r="CQ24" s="96"/>
      <c r="CR24" s="96"/>
      <c r="CS24" s="96"/>
      <c r="CT24" s="96"/>
      <c r="CU24" s="96"/>
      <c r="CV24" s="96"/>
      <c r="CW24" s="175" t="s">
        <v>294</v>
      </c>
      <c r="CX24" s="233" t="s">
        <v>529</v>
      </c>
      <c r="CY24" s="233" t="s">
        <v>267</v>
      </c>
      <c r="CZ24" s="262" t="s">
        <v>583</v>
      </c>
      <c r="DA24"/>
      <c r="DB24" s="32"/>
      <c r="DC24" s="32"/>
      <c r="DD24" s="32"/>
      <c r="DE24" s="32"/>
      <c r="DF24" s="32"/>
      <c r="DG24" s="32"/>
      <c r="DH24" s="32"/>
      <c r="DI24" s="32"/>
      <c r="DJ24" s="32"/>
      <c r="DK24" s="32"/>
      <c r="DL24" s="32"/>
      <c r="DM24" s="32"/>
      <c r="DN24" s="32"/>
      <c r="DO24" s="32"/>
      <c r="DP24" s="32"/>
      <c r="DQ24" s="32"/>
      <c r="DR24" s="32"/>
      <c r="DS24" s="32"/>
      <c r="DT24" s="32"/>
      <c r="DU24" s="32"/>
      <c r="DV24" s="32"/>
      <c r="DW24" s="32"/>
      <c r="DX24" s="32"/>
      <c r="DY24" s="32"/>
      <c r="DZ24" s="32"/>
      <c r="EA24" s="32"/>
      <c r="EB24" s="32"/>
      <c r="EC24" s="32"/>
      <c r="ED24" s="32"/>
      <c r="EE24" s="32"/>
      <c r="EF24" s="32"/>
      <c r="EG24" s="32"/>
      <c r="EH24" s="32"/>
      <c r="EI24" s="32"/>
      <c r="EJ24" s="32"/>
      <c r="EK24" s="32"/>
      <c r="EL24" s="32"/>
      <c r="EM24" s="32"/>
      <c r="EN24" s="32"/>
      <c r="EO24" s="32"/>
      <c r="EP24" s="32"/>
      <c r="EQ24" s="32"/>
      <c r="ER24" s="32"/>
      <c r="ES24" s="32"/>
      <c r="ET24" s="32"/>
      <c r="EU24" s="32"/>
      <c r="EV24" s="32"/>
      <c r="EW24" s="32"/>
      <c r="EX24" s="32"/>
      <c r="EY24" s="32"/>
      <c r="EZ24" s="32"/>
      <c r="FA24" s="32"/>
      <c r="FB24" s="32"/>
      <c r="FC24" s="32"/>
      <c r="FD24" s="32"/>
      <c r="FE24" s="32"/>
      <c r="FF24" s="32"/>
    </row>
    <row r="25" spans="1:162" s="60" customFormat="1" ht="15" thickBot="1" x14ac:dyDescent="0.2">
      <c r="A25" s="199"/>
      <c r="B25" s="47">
        <v>23</v>
      </c>
      <c r="C25" s="199"/>
      <c r="D25" s="209"/>
      <c r="E25" s="231"/>
      <c r="F25" s="209"/>
      <c r="G25" s="206"/>
      <c r="H25" s="202"/>
      <c r="I25" s="51" t="s">
        <v>385</v>
      </c>
      <c r="J25" s="202"/>
      <c r="K25" s="65"/>
      <c r="L25" s="202"/>
      <c r="M25" s="65"/>
      <c r="N25" s="187"/>
      <c r="O25" s="244"/>
      <c r="P25" s="187"/>
      <c r="Q25" s="187"/>
      <c r="R25" s="187"/>
      <c r="S25" s="187"/>
      <c r="T25" s="187"/>
      <c r="U25" s="187"/>
      <c r="V25" s="187"/>
      <c r="W25" s="187"/>
      <c r="X25" s="187"/>
      <c r="Y25" s="174"/>
      <c r="Z25" s="174"/>
      <c r="AA25" s="187"/>
      <c r="AB25" s="278"/>
      <c r="AC25" s="174"/>
      <c r="AD25" s="160"/>
      <c r="AE25" s="192"/>
      <c r="AF25" s="185"/>
      <c r="AG25" s="215"/>
      <c r="AH25" s="157"/>
      <c r="AI25" s="157"/>
      <c r="AJ25" s="56">
        <v>20</v>
      </c>
      <c r="AK25" s="273"/>
      <c r="AL25" s="172"/>
      <c r="AM25" s="56">
        <v>44000</v>
      </c>
      <c r="AN25" s="56">
        <v>0</v>
      </c>
      <c r="AO25" s="56">
        <v>0</v>
      </c>
      <c r="AP25" s="56"/>
      <c r="AQ25" s="56"/>
      <c r="AR25" s="56"/>
      <c r="AS25" s="56">
        <f t="shared" si="1"/>
        <v>0</v>
      </c>
      <c r="AT25" s="184"/>
      <c r="AU25" s="56">
        <v>901000</v>
      </c>
      <c r="AV25" s="58" t="s">
        <v>502</v>
      </c>
      <c r="AW25" s="58" t="s">
        <v>502</v>
      </c>
      <c r="AX25" s="157"/>
      <c r="AY25" s="59">
        <v>0</v>
      </c>
      <c r="AZ25" s="56">
        <v>0</v>
      </c>
      <c r="BA25" s="58"/>
      <c r="BB25" s="182"/>
      <c r="BC25" s="183"/>
      <c r="BD25" s="183"/>
      <c r="BE25" s="183"/>
      <c r="BF25" s="183"/>
      <c r="BG25" s="183"/>
      <c r="BH25" s="183"/>
      <c r="BI25" s="183"/>
      <c r="BJ25" s="183"/>
      <c r="BK25" s="58"/>
      <c r="BL25" s="58">
        <v>-78</v>
      </c>
      <c r="BM25" s="58">
        <v>-8</v>
      </c>
      <c r="BN25" s="58"/>
      <c r="BO25" s="58"/>
      <c r="BP25" s="167"/>
      <c r="BQ25" s="241"/>
      <c r="BR25" s="90">
        <v>31300</v>
      </c>
      <c r="BS25" s="90"/>
      <c r="BT25" s="89"/>
      <c r="BU25" s="89">
        <v>11.2</v>
      </c>
      <c r="BV25" s="89"/>
      <c r="BW25" s="89">
        <v>-31.6</v>
      </c>
      <c r="BX25" s="89"/>
      <c r="BY25" s="89"/>
      <c r="BZ25" s="89"/>
      <c r="CA25" s="89">
        <v>13400</v>
      </c>
      <c r="CB25" s="89"/>
      <c r="CC25" s="89"/>
      <c r="CD25" s="89"/>
      <c r="CE25" s="89"/>
      <c r="CF25" s="89"/>
      <c r="CG25" s="89"/>
      <c r="CH25" s="89"/>
      <c r="CI25" s="89"/>
      <c r="CJ25" s="89"/>
      <c r="CK25" s="89"/>
      <c r="CL25" s="89"/>
      <c r="CM25" s="89"/>
      <c r="CN25" s="89"/>
      <c r="CO25" s="89"/>
      <c r="CP25" s="89"/>
      <c r="CQ25" s="89"/>
      <c r="CR25" s="89"/>
      <c r="CS25" s="89"/>
      <c r="CT25" s="89"/>
      <c r="CU25" s="89"/>
      <c r="CV25" s="89"/>
      <c r="CW25" s="176"/>
      <c r="CX25" s="234"/>
      <c r="CY25" s="234"/>
      <c r="CZ25" s="263"/>
      <c r="DA25" s="32"/>
      <c r="DB25" s="32"/>
      <c r="DC25" s="32"/>
      <c r="DD25" s="32"/>
      <c r="DE25" s="32"/>
      <c r="DF25" s="32"/>
      <c r="DG25" s="32"/>
      <c r="DH25" s="32"/>
      <c r="DI25" s="32"/>
      <c r="DJ25" s="32"/>
      <c r="DK25" s="32"/>
      <c r="DL25" s="32"/>
      <c r="DM25" s="32"/>
      <c r="DN25" s="32"/>
      <c r="DO25" s="32"/>
      <c r="DP25" s="32"/>
      <c r="DQ25" s="32"/>
      <c r="DR25" s="32"/>
      <c r="DS25" s="32"/>
      <c r="DT25" s="32"/>
      <c r="DU25" s="32"/>
      <c r="DV25" s="32"/>
      <c r="DW25" s="32"/>
      <c r="DX25" s="32"/>
      <c r="DY25" s="32"/>
      <c r="DZ25" s="32"/>
      <c r="EA25" s="32"/>
      <c r="EB25" s="32"/>
      <c r="EC25" s="32"/>
      <c r="ED25" s="32"/>
      <c r="EE25" s="32"/>
      <c r="EF25" s="32"/>
      <c r="EG25" s="32"/>
      <c r="EH25" s="32"/>
      <c r="EI25" s="32"/>
      <c r="EJ25" s="32"/>
      <c r="EK25" s="32"/>
      <c r="EL25" s="32"/>
      <c r="EM25" s="32"/>
      <c r="EN25" s="32"/>
      <c r="EO25" s="32"/>
      <c r="EP25" s="32"/>
      <c r="EQ25" s="32"/>
      <c r="ER25" s="32"/>
      <c r="ES25" s="32"/>
      <c r="ET25" s="32"/>
      <c r="EU25" s="32"/>
      <c r="EV25" s="32"/>
      <c r="EW25" s="32"/>
      <c r="EX25" s="32"/>
      <c r="EY25" s="32"/>
      <c r="EZ25" s="32"/>
      <c r="FA25" s="32"/>
      <c r="FB25" s="32"/>
      <c r="FC25" s="32"/>
      <c r="FD25" s="32"/>
      <c r="FE25" s="32"/>
      <c r="FF25" s="32"/>
    </row>
    <row r="26" spans="1:162" s="46" customFormat="1" ht="14" customHeight="1" x14ac:dyDescent="0.15">
      <c r="A26" s="259">
        <v>11</v>
      </c>
      <c r="B26" s="28">
        <v>24</v>
      </c>
      <c r="C26" s="259">
        <v>2022</v>
      </c>
      <c r="D26" s="207" t="s">
        <v>281</v>
      </c>
      <c r="E26" s="229" t="s">
        <v>176</v>
      </c>
      <c r="F26" s="220" t="s">
        <v>329</v>
      </c>
      <c r="G26" s="29" t="s">
        <v>268</v>
      </c>
      <c r="H26" s="29" t="s">
        <v>368</v>
      </c>
      <c r="I26" s="43" t="s">
        <v>304</v>
      </c>
      <c r="J26" s="109"/>
      <c r="K26" s="109"/>
      <c r="L26" s="109"/>
      <c r="M26" s="109"/>
      <c r="N26" s="196" t="s">
        <v>270</v>
      </c>
      <c r="O26" s="248" t="s">
        <v>387</v>
      </c>
      <c r="P26" s="194">
        <v>1000</v>
      </c>
      <c r="Q26" s="194" t="s">
        <v>538</v>
      </c>
      <c r="R26" s="194" t="s">
        <v>267</v>
      </c>
      <c r="S26" s="194" t="s">
        <v>267</v>
      </c>
      <c r="T26" s="194" t="s">
        <v>270</v>
      </c>
      <c r="U26" s="173" t="s">
        <v>267</v>
      </c>
      <c r="V26" s="194" t="s">
        <v>270</v>
      </c>
      <c r="W26" s="194" t="s">
        <v>270</v>
      </c>
      <c r="X26" s="194" t="s">
        <v>270</v>
      </c>
      <c r="Y26" s="173" t="s">
        <v>270</v>
      </c>
      <c r="Z26" s="173" t="s">
        <v>365</v>
      </c>
      <c r="AA26" s="194" t="s">
        <v>270</v>
      </c>
      <c r="AB26" s="277" t="s">
        <v>294</v>
      </c>
      <c r="AC26" s="197">
        <v>6</v>
      </c>
      <c r="AD26" s="159"/>
      <c r="AE26" s="192"/>
      <c r="AF26" s="164" t="s">
        <v>460</v>
      </c>
      <c r="AG26" s="216" t="s">
        <v>593</v>
      </c>
      <c r="AH26" s="158">
        <v>2020</v>
      </c>
      <c r="AI26" s="156">
        <v>21</v>
      </c>
      <c r="AJ26" s="27">
        <v>10</v>
      </c>
      <c r="AK26" s="269" t="s">
        <v>662</v>
      </c>
      <c r="AL26" s="216" t="s">
        <v>605</v>
      </c>
      <c r="AM26" s="27"/>
      <c r="AN26" s="27">
        <v>30277.78</v>
      </c>
      <c r="AO26" s="27"/>
      <c r="AP26" s="27"/>
      <c r="AQ26" s="27"/>
      <c r="AR26" s="27"/>
      <c r="AS26" s="27">
        <f>AN26*3.6+AO26*42.8+AP26*42.5+AQ26*15.4+AR26*45.5</f>
        <v>109000.008</v>
      </c>
      <c r="AT26" s="27"/>
      <c r="AU26" s="27"/>
      <c r="AV26" s="38"/>
      <c r="AW26" s="38"/>
      <c r="AX26" s="38"/>
      <c r="AY26" s="45">
        <v>1.5</v>
      </c>
      <c r="AZ26" s="27">
        <v>1500</v>
      </c>
      <c r="BA26" s="38"/>
      <c r="BB26" s="156" t="s">
        <v>617</v>
      </c>
      <c r="BC26" s="156"/>
      <c r="BD26" s="156" t="s">
        <v>617</v>
      </c>
      <c r="BE26" s="156"/>
      <c r="BF26" s="38"/>
      <c r="BG26" s="38"/>
      <c r="BH26" s="27"/>
      <c r="BI26" s="27"/>
      <c r="BJ26" s="158" t="s">
        <v>270</v>
      </c>
      <c r="BK26" s="27"/>
      <c r="BL26" s="27"/>
      <c r="BM26" s="27"/>
      <c r="BN26" s="27"/>
      <c r="BO26" s="38"/>
      <c r="BP26" s="38"/>
      <c r="BQ26" s="239">
        <v>6</v>
      </c>
      <c r="BR26" s="95"/>
      <c r="BS26" s="95">
        <v>10115</v>
      </c>
      <c r="BT26" s="96"/>
      <c r="BU26" s="96"/>
      <c r="BV26" s="96">
        <v>79.599999999999994</v>
      </c>
      <c r="BW26" s="96"/>
      <c r="BX26" s="96">
        <v>119</v>
      </c>
      <c r="BY26" s="96"/>
      <c r="BZ26" s="96"/>
      <c r="CA26" s="96">
        <v>9800</v>
      </c>
      <c r="CB26" s="96"/>
      <c r="CC26" s="96"/>
      <c r="CD26" s="96"/>
      <c r="CE26" s="96"/>
      <c r="CF26" s="96"/>
      <c r="CG26" s="96"/>
      <c r="CH26" s="96"/>
      <c r="CI26" s="96">
        <v>7549</v>
      </c>
      <c r="CJ26" s="96"/>
      <c r="CK26" s="96"/>
      <c r="CL26" s="96"/>
      <c r="CM26" s="96"/>
      <c r="CN26" s="96">
        <v>109000</v>
      </c>
      <c r="CO26" s="96"/>
      <c r="CP26" s="96"/>
      <c r="CQ26" s="96"/>
      <c r="CR26" s="96"/>
      <c r="CS26" s="96"/>
      <c r="CT26" s="96"/>
      <c r="CU26" s="96"/>
      <c r="CV26" s="96"/>
      <c r="CW26" s="175" t="s">
        <v>389</v>
      </c>
      <c r="CX26" s="233"/>
      <c r="CY26" s="233" t="s">
        <v>267</v>
      </c>
      <c r="CZ26" s="261"/>
      <c r="DA26"/>
      <c r="DB26" s="32"/>
      <c r="DC26" s="32"/>
      <c r="DD26" s="32"/>
      <c r="DE26" s="32"/>
      <c r="DF26" s="32"/>
      <c r="DG26" s="32"/>
      <c r="DH26" s="32"/>
      <c r="DI26" s="32"/>
      <c r="DJ26" s="32"/>
      <c r="DK26" s="32"/>
      <c r="DL26" s="32"/>
      <c r="DM26" s="32"/>
      <c r="DN26" s="32"/>
      <c r="DO26" s="32"/>
      <c r="DP26" s="32"/>
      <c r="DQ26" s="32"/>
      <c r="DR26" s="32"/>
      <c r="DS26" s="32"/>
      <c r="DT26" s="32"/>
      <c r="DU26" s="32"/>
      <c r="DV26" s="32"/>
      <c r="DW26" s="32"/>
      <c r="DX26" s="32"/>
      <c r="DY26" s="32"/>
      <c r="DZ26" s="32"/>
      <c r="EA26" s="32"/>
      <c r="EB26" s="32"/>
      <c r="EC26" s="32"/>
      <c r="ED26" s="32"/>
      <c r="EE26" s="32"/>
      <c r="EF26" s="32"/>
      <c r="EG26" s="32"/>
      <c r="EH26" s="32"/>
      <c r="EI26" s="32"/>
      <c r="EJ26" s="32"/>
      <c r="EK26" s="32"/>
      <c r="EL26" s="32"/>
      <c r="EM26" s="32"/>
      <c r="EN26" s="32"/>
      <c r="EO26" s="32"/>
      <c r="EP26" s="32"/>
      <c r="EQ26" s="32"/>
      <c r="ER26" s="32"/>
      <c r="ES26" s="32"/>
      <c r="ET26" s="32"/>
      <c r="EU26" s="32"/>
      <c r="EV26" s="32"/>
      <c r="EW26" s="32"/>
      <c r="EX26" s="32"/>
      <c r="EY26" s="32"/>
      <c r="EZ26" s="32"/>
      <c r="FA26" s="32"/>
      <c r="FB26" s="32"/>
      <c r="FC26" s="32"/>
      <c r="FD26" s="32"/>
      <c r="FE26" s="32"/>
      <c r="FF26" s="32"/>
    </row>
    <row r="27" spans="1:162" s="60" customFormat="1" ht="15" thickBot="1" x14ac:dyDescent="0.2">
      <c r="A27" s="199"/>
      <c r="B27" s="47">
        <v>25</v>
      </c>
      <c r="C27" s="199"/>
      <c r="D27" s="209"/>
      <c r="E27" s="231"/>
      <c r="F27" s="221"/>
      <c r="G27" s="50" t="s">
        <v>521</v>
      </c>
      <c r="H27" s="50" t="s">
        <v>367</v>
      </c>
      <c r="I27" s="51"/>
      <c r="J27" s="65"/>
      <c r="K27" s="65"/>
      <c r="L27" s="65"/>
      <c r="M27" s="65"/>
      <c r="N27" s="174"/>
      <c r="O27" s="244"/>
      <c r="P27" s="187"/>
      <c r="Q27" s="187"/>
      <c r="R27" s="187"/>
      <c r="S27" s="187"/>
      <c r="T27" s="187"/>
      <c r="U27" s="174"/>
      <c r="V27" s="187"/>
      <c r="W27" s="187"/>
      <c r="X27" s="187"/>
      <c r="Y27" s="174"/>
      <c r="Z27" s="174"/>
      <c r="AA27" s="187"/>
      <c r="AB27" s="278"/>
      <c r="AC27" s="174"/>
      <c r="AD27" s="160"/>
      <c r="AE27" s="192"/>
      <c r="AF27" s="185"/>
      <c r="AG27" s="215"/>
      <c r="AH27" s="157"/>
      <c r="AI27" s="157"/>
      <c r="AJ27" s="56">
        <v>11</v>
      </c>
      <c r="AK27" s="270"/>
      <c r="AL27" s="215"/>
      <c r="AM27" s="56"/>
      <c r="AN27" s="56">
        <v>29569.439999999999</v>
      </c>
      <c r="AO27" s="56"/>
      <c r="AP27" s="56"/>
      <c r="AQ27" s="56"/>
      <c r="AR27" s="56"/>
      <c r="AS27" s="56">
        <f t="shared" si="1"/>
        <v>106449.984</v>
      </c>
      <c r="AT27" s="56"/>
      <c r="AU27" s="56"/>
      <c r="AV27" s="58"/>
      <c r="AW27" s="58"/>
      <c r="AX27" s="58"/>
      <c r="AY27" s="59"/>
      <c r="AZ27" s="56"/>
      <c r="BA27" s="58"/>
      <c r="BB27" s="157"/>
      <c r="BC27" s="157"/>
      <c r="BD27" s="157"/>
      <c r="BE27" s="157"/>
      <c r="BF27" s="58"/>
      <c r="BG27" s="58"/>
      <c r="BH27" s="56"/>
      <c r="BI27" s="56"/>
      <c r="BJ27" s="157"/>
      <c r="BK27" s="56"/>
      <c r="BL27" s="56"/>
      <c r="BM27" s="56"/>
      <c r="BN27" s="56"/>
      <c r="BO27" s="58"/>
      <c r="BP27" s="58"/>
      <c r="BQ27" s="241"/>
      <c r="BR27" s="90"/>
      <c r="BS27" s="90">
        <v>11260</v>
      </c>
      <c r="BT27" s="89"/>
      <c r="BU27" s="89"/>
      <c r="BV27" s="89">
        <v>77.3</v>
      </c>
      <c r="BW27" s="89"/>
      <c r="BX27" s="89">
        <v>95.8</v>
      </c>
      <c r="BY27" s="89"/>
      <c r="BZ27" s="89"/>
      <c r="CA27" s="89">
        <v>49045</v>
      </c>
      <c r="CB27" s="89"/>
      <c r="CC27" s="89"/>
      <c r="CD27" s="89"/>
      <c r="CE27" s="89"/>
      <c r="CF27" s="89"/>
      <c r="CG27" s="89"/>
      <c r="CH27" s="89"/>
      <c r="CI27" s="89">
        <v>223110</v>
      </c>
      <c r="CJ27" s="89"/>
      <c r="CK27" s="89"/>
      <c r="CL27" s="89"/>
      <c r="CM27" s="89"/>
      <c r="CN27" s="89">
        <v>106450</v>
      </c>
      <c r="CO27" s="89"/>
      <c r="CP27" s="89"/>
      <c r="CQ27" s="89"/>
      <c r="CR27" s="89"/>
      <c r="CS27" s="89"/>
      <c r="CT27" s="89"/>
      <c r="CU27" s="89"/>
      <c r="CV27" s="89"/>
      <c r="CW27" s="176"/>
      <c r="CX27" s="234"/>
      <c r="CY27" s="234"/>
      <c r="CZ27" s="238"/>
      <c r="DA27" s="32"/>
      <c r="DB27" s="32"/>
      <c r="DC27" s="32"/>
      <c r="DD27" s="32"/>
      <c r="DE27" s="32"/>
      <c r="DF27" s="32"/>
      <c r="DG27" s="32"/>
      <c r="DH27" s="32"/>
      <c r="DI27" s="32"/>
      <c r="DJ27" s="32"/>
      <c r="DK27" s="32"/>
      <c r="DL27" s="32"/>
      <c r="DM27" s="32"/>
      <c r="DN27" s="32"/>
      <c r="DO27" s="32"/>
      <c r="DP27" s="32"/>
      <c r="DQ27" s="32"/>
      <c r="DR27" s="32"/>
      <c r="DS27" s="32"/>
      <c r="DT27" s="32"/>
      <c r="DU27" s="32"/>
      <c r="DV27" s="32"/>
      <c r="DW27" s="32"/>
      <c r="DX27" s="32"/>
      <c r="DY27" s="32"/>
      <c r="DZ27" s="32"/>
      <c r="EA27" s="32"/>
      <c r="EB27" s="32"/>
      <c r="EC27" s="32"/>
      <c r="ED27" s="32"/>
      <c r="EE27" s="32"/>
      <c r="EF27" s="32"/>
      <c r="EG27" s="32"/>
      <c r="EH27" s="32"/>
      <c r="EI27" s="32"/>
      <c r="EJ27" s="32"/>
      <c r="EK27" s="32"/>
      <c r="EL27" s="32"/>
      <c r="EM27" s="32"/>
      <c r="EN27" s="32"/>
      <c r="EO27" s="32"/>
      <c r="EP27" s="32"/>
      <c r="EQ27" s="32"/>
      <c r="ER27" s="32"/>
      <c r="ES27" s="32"/>
      <c r="ET27" s="32"/>
      <c r="EU27" s="32"/>
      <c r="EV27" s="32"/>
      <c r="EW27" s="32"/>
      <c r="EX27" s="32"/>
      <c r="EY27" s="32"/>
      <c r="EZ27" s="32"/>
      <c r="FA27" s="32"/>
      <c r="FB27" s="32"/>
      <c r="FC27" s="32"/>
      <c r="FD27" s="32"/>
      <c r="FE27" s="32"/>
      <c r="FF27" s="32"/>
    </row>
    <row r="28" spans="1:162" s="46" customFormat="1" ht="14" customHeight="1" x14ac:dyDescent="0.15">
      <c r="A28" s="198">
        <v>12</v>
      </c>
      <c r="B28" s="76">
        <v>26</v>
      </c>
      <c r="C28" s="228">
        <v>2010</v>
      </c>
      <c r="D28" s="210" t="s">
        <v>278</v>
      </c>
      <c r="E28" s="232" t="s">
        <v>28</v>
      </c>
      <c r="F28" s="222" t="s">
        <v>328</v>
      </c>
      <c r="G28" s="77" t="s">
        <v>521</v>
      </c>
      <c r="H28" s="200" t="s">
        <v>368</v>
      </c>
      <c r="I28" s="78"/>
      <c r="J28" s="109"/>
      <c r="K28" s="77">
        <v>25</v>
      </c>
      <c r="L28" s="77"/>
      <c r="M28" s="77">
        <v>75</v>
      </c>
      <c r="N28" s="173" t="s">
        <v>270</v>
      </c>
      <c r="O28" s="243" t="s">
        <v>309</v>
      </c>
      <c r="P28" s="186">
        <v>1000</v>
      </c>
      <c r="Q28" s="186" t="s">
        <v>538</v>
      </c>
      <c r="R28" s="186" t="s">
        <v>267</v>
      </c>
      <c r="S28" s="186" t="s">
        <v>267</v>
      </c>
      <c r="T28" s="186" t="s">
        <v>270</v>
      </c>
      <c r="U28" s="186" t="s">
        <v>270</v>
      </c>
      <c r="V28" s="186" t="s">
        <v>270</v>
      </c>
      <c r="W28" s="186" t="s">
        <v>270</v>
      </c>
      <c r="X28" s="186" t="s">
        <v>267</v>
      </c>
      <c r="Y28" s="173" t="s">
        <v>267</v>
      </c>
      <c r="Z28" s="173"/>
      <c r="AA28" s="186" t="s">
        <v>270</v>
      </c>
      <c r="AB28" s="277"/>
      <c r="AC28" s="197">
        <v>0</v>
      </c>
      <c r="AD28" s="159"/>
      <c r="AE28" s="192"/>
      <c r="AF28" s="211" t="s">
        <v>404</v>
      </c>
      <c r="AG28" s="214"/>
      <c r="AH28" s="156"/>
      <c r="AI28" s="107"/>
      <c r="AJ28" s="80"/>
      <c r="AK28" s="147"/>
      <c r="AL28" s="190"/>
      <c r="AM28" s="27">
        <v>5130</v>
      </c>
      <c r="AN28" s="27">
        <v>8100</v>
      </c>
      <c r="AO28" s="27"/>
      <c r="AP28" s="27"/>
      <c r="AQ28" s="27"/>
      <c r="AR28" s="27"/>
      <c r="AS28" s="27">
        <f t="shared" si="1"/>
        <v>29160</v>
      </c>
      <c r="AT28" s="184" t="s">
        <v>542</v>
      </c>
      <c r="AU28" s="27">
        <v>128000</v>
      </c>
      <c r="AV28" s="38"/>
      <c r="AW28" s="38"/>
      <c r="AX28" s="38"/>
      <c r="AY28" s="45">
        <v>1.94</v>
      </c>
      <c r="AZ28" s="27">
        <v>2429</v>
      </c>
      <c r="BA28" s="38"/>
      <c r="BB28" s="156" t="s">
        <v>617</v>
      </c>
      <c r="BC28" s="156" t="s">
        <v>617</v>
      </c>
      <c r="BD28" s="156" t="s">
        <v>618</v>
      </c>
      <c r="BE28" s="156" t="s">
        <v>617</v>
      </c>
      <c r="BF28" s="38" t="s">
        <v>619</v>
      </c>
      <c r="BG28" s="38" t="s">
        <v>624</v>
      </c>
      <c r="BH28" s="27"/>
      <c r="BI28" s="27"/>
      <c r="BJ28" s="158" t="s">
        <v>270</v>
      </c>
      <c r="BK28" s="27"/>
      <c r="BL28" s="27">
        <v>5.0000000000000001E-3</v>
      </c>
      <c r="BM28" s="27">
        <v>1.5E-3</v>
      </c>
      <c r="BN28" s="27"/>
      <c r="BO28" s="38" t="s">
        <v>641</v>
      </c>
      <c r="BP28" s="38"/>
      <c r="BQ28" s="239">
        <v>0</v>
      </c>
      <c r="BR28" s="97"/>
      <c r="BS28" s="97"/>
      <c r="BT28" s="96"/>
      <c r="BU28" s="96"/>
      <c r="BV28" s="96"/>
      <c r="BW28" s="96"/>
      <c r="BX28" s="96"/>
      <c r="BY28" s="96"/>
      <c r="BZ28" s="96"/>
      <c r="CA28" s="96"/>
      <c r="CB28" s="96"/>
      <c r="CC28" s="96"/>
      <c r="CD28" s="96"/>
      <c r="CE28" s="96"/>
      <c r="CF28" s="96"/>
      <c r="CG28" s="96"/>
      <c r="CH28" s="96"/>
      <c r="CI28" s="96"/>
      <c r="CJ28" s="96"/>
      <c r="CK28" s="96"/>
      <c r="CL28" s="96"/>
      <c r="CM28" s="96"/>
      <c r="CN28" s="96"/>
      <c r="CO28" s="96"/>
      <c r="CP28" s="96"/>
      <c r="CQ28" s="96"/>
      <c r="CR28" s="96"/>
      <c r="CS28" s="96"/>
      <c r="CT28" s="96"/>
      <c r="CU28" s="96"/>
      <c r="CV28" s="96"/>
      <c r="CW28" s="175" t="s">
        <v>388</v>
      </c>
      <c r="CX28" s="233"/>
      <c r="CY28" s="233" t="s">
        <v>270</v>
      </c>
      <c r="CZ28" s="261"/>
      <c r="DA28"/>
      <c r="DB28" s="32"/>
      <c r="DC28" s="32"/>
      <c r="DD28" s="32"/>
      <c r="DE28" s="32"/>
      <c r="DF28" s="32"/>
      <c r="DG28" s="32"/>
      <c r="DH28" s="32"/>
      <c r="DI28" s="32"/>
      <c r="DJ28" s="32"/>
      <c r="DK28" s="32"/>
      <c r="DL28" s="32"/>
      <c r="DM28" s="32"/>
      <c r="DN28" s="32"/>
      <c r="DO28" s="32"/>
      <c r="DP28" s="32"/>
      <c r="DQ28" s="32"/>
      <c r="DR28" s="32"/>
      <c r="DS28" s="32"/>
      <c r="DT28" s="32"/>
      <c r="DU28" s="32"/>
      <c r="DV28" s="32"/>
      <c r="DW28" s="32"/>
      <c r="DX28" s="32"/>
      <c r="DY28" s="32"/>
      <c r="DZ28" s="32"/>
      <c r="EA28" s="32"/>
      <c r="EB28" s="32"/>
      <c r="EC28" s="32"/>
      <c r="ED28" s="32"/>
      <c r="EE28" s="32"/>
      <c r="EF28" s="32"/>
      <c r="EG28" s="32"/>
      <c r="EH28" s="32"/>
      <c r="EI28" s="32"/>
      <c r="EJ28" s="32"/>
      <c r="EK28" s="32"/>
      <c r="EL28" s="32"/>
      <c r="EM28" s="32"/>
      <c r="EN28" s="32"/>
      <c r="EO28" s="32"/>
      <c r="EP28" s="32"/>
      <c r="EQ28" s="32"/>
      <c r="ER28" s="32"/>
      <c r="ES28" s="32"/>
      <c r="ET28" s="32"/>
      <c r="EU28" s="32"/>
      <c r="EV28" s="32"/>
      <c r="EW28" s="32"/>
      <c r="EX28" s="32"/>
      <c r="EY28" s="32"/>
      <c r="EZ28" s="32"/>
      <c r="FA28" s="32"/>
      <c r="FB28" s="32"/>
      <c r="FC28" s="32"/>
      <c r="FD28" s="32"/>
      <c r="FE28" s="32"/>
      <c r="FF28" s="32"/>
    </row>
    <row r="29" spans="1:162" s="60" customFormat="1" ht="14" customHeight="1" thickBot="1" x14ac:dyDescent="0.2">
      <c r="A29" s="199"/>
      <c r="B29" s="47">
        <v>27</v>
      </c>
      <c r="C29" s="227"/>
      <c r="D29" s="209"/>
      <c r="E29" s="231"/>
      <c r="F29" s="221"/>
      <c r="G29" s="50" t="s">
        <v>268</v>
      </c>
      <c r="H29" s="202"/>
      <c r="I29" s="51" t="s">
        <v>370</v>
      </c>
      <c r="J29" s="65"/>
      <c r="K29" s="50">
        <v>50</v>
      </c>
      <c r="L29" s="50"/>
      <c r="M29" s="50">
        <v>99</v>
      </c>
      <c r="N29" s="174"/>
      <c r="O29" s="244"/>
      <c r="P29" s="187"/>
      <c r="Q29" s="187"/>
      <c r="R29" s="187"/>
      <c r="S29" s="187"/>
      <c r="T29" s="187"/>
      <c r="U29" s="187"/>
      <c r="V29" s="187"/>
      <c r="W29" s="187"/>
      <c r="X29" s="187"/>
      <c r="Y29" s="174"/>
      <c r="Z29" s="174"/>
      <c r="AA29" s="187"/>
      <c r="AB29" s="278"/>
      <c r="AC29" s="174"/>
      <c r="AD29" s="160"/>
      <c r="AE29" s="192"/>
      <c r="AF29" s="185"/>
      <c r="AG29" s="215"/>
      <c r="AH29" s="157"/>
      <c r="AI29" s="70"/>
      <c r="AJ29" s="56"/>
      <c r="AK29" s="146"/>
      <c r="AL29" s="169"/>
      <c r="AM29" s="56">
        <v>580</v>
      </c>
      <c r="AN29" s="56">
        <v>4610</v>
      </c>
      <c r="AO29" s="56"/>
      <c r="AP29" s="56"/>
      <c r="AQ29" s="56"/>
      <c r="AR29" s="56"/>
      <c r="AS29" s="56">
        <f t="shared" si="1"/>
        <v>16596</v>
      </c>
      <c r="AT29" s="184"/>
      <c r="AU29" s="56">
        <v>51000</v>
      </c>
      <c r="AV29" s="58"/>
      <c r="AW29" s="58"/>
      <c r="AX29" s="58"/>
      <c r="AY29" s="59">
        <v>1.62</v>
      </c>
      <c r="AZ29" s="56">
        <v>1620</v>
      </c>
      <c r="BA29" s="58"/>
      <c r="BB29" s="157"/>
      <c r="BC29" s="157"/>
      <c r="BD29" s="157"/>
      <c r="BE29" s="157"/>
      <c r="BF29" s="58" t="s">
        <v>619</v>
      </c>
      <c r="BG29" s="58" t="s">
        <v>625</v>
      </c>
      <c r="BH29" s="56"/>
      <c r="BI29" s="56"/>
      <c r="BJ29" s="157"/>
      <c r="BK29" s="56"/>
      <c r="BL29" s="56">
        <v>6.4999999999999997E-3</v>
      </c>
      <c r="BM29" s="56">
        <v>2.0000000000000001E-4</v>
      </c>
      <c r="BN29" s="56"/>
      <c r="BO29" s="58" t="s">
        <v>642</v>
      </c>
      <c r="BP29" s="58"/>
      <c r="BQ29" s="241"/>
      <c r="BR29" s="91"/>
      <c r="BS29" s="91"/>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176"/>
      <c r="CX29" s="234"/>
      <c r="CY29" s="234"/>
      <c r="CZ29" s="238"/>
      <c r="DA29" s="32"/>
      <c r="DB29" s="32"/>
      <c r="DC29" s="32"/>
      <c r="DD29" s="32"/>
      <c r="DE29" s="32"/>
      <c r="DF29" s="32"/>
      <c r="DG29" s="32"/>
      <c r="DH29" s="32"/>
      <c r="DI29" s="32"/>
      <c r="DJ29" s="32"/>
      <c r="DK29" s="32"/>
      <c r="DL29" s="32"/>
      <c r="DM29" s="32"/>
      <c r="DN29" s="32"/>
      <c r="DO29" s="32"/>
      <c r="DP29" s="32"/>
      <c r="DQ29" s="32"/>
      <c r="DR29" s="32"/>
      <c r="DS29" s="32"/>
      <c r="DT29" s="32"/>
      <c r="DU29" s="32"/>
      <c r="DV29" s="32"/>
      <c r="DW29" s="32"/>
      <c r="DX29" s="32"/>
      <c r="DY29" s="32"/>
      <c r="DZ29" s="32"/>
      <c r="EA29" s="32"/>
      <c r="EB29" s="32"/>
      <c r="EC29" s="32"/>
      <c r="ED29" s="32"/>
      <c r="EE29" s="32"/>
      <c r="EF29" s="32"/>
      <c r="EG29" s="32"/>
      <c r="EH29" s="32"/>
      <c r="EI29" s="32"/>
      <c r="EJ29" s="32"/>
      <c r="EK29" s="32"/>
      <c r="EL29" s="32"/>
      <c r="EM29" s="32"/>
      <c r="EN29" s="32"/>
      <c r="EO29" s="32"/>
      <c r="EP29" s="32"/>
      <c r="EQ29" s="32"/>
      <c r="ER29" s="32"/>
      <c r="ES29" s="32"/>
      <c r="ET29" s="32"/>
      <c r="EU29" s="32"/>
      <c r="EV29" s="32"/>
      <c r="EW29" s="32"/>
      <c r="EX29" s="32"/>
      <c r="EY29" s="32"/>
      <c r="EZ29" s="32"/>
      <c r="FA29" s="32"/>
      <c r="FB29" s="32"/>
      <c r="FC29" s="32"/>
      <c r="FD29" s="32"/>
      <c r="FE29" s="32"/>
      <c r="FF29" s="32"/>
    </row>
    <row r="30" spans="1:162" s="46" customFormat="1" x14ac:dyDescent="0.15">
      <c r="A30" s="225">
        <v>13</v>
      </c>
      <c r="B30" s="28">
        <v>28</v>
      </c>
      <c r="C30" s="225">
        <v>2006</v>
      </c>
      <c r="D30" s="207" t="s">
        <v>279</v>
      </c>
      <c r="E30" s="229" t="s">
        <v>22</v>
      </c>
      <c r="F30" s="223" t="s">
        <v>362</v>
      </c>
      <c r="G30" s="200" t="s">
        <v>521</v>
      </c>
      <c r="H30" s="200" t="s">
        <v>368</v>
      </c>
      <c r="I30" s="43" t="s">
        <v>350</v>
      </c>
      <c r="J30" s="109"/>
      <c r="K30" s="29" t="s">
        <v>363</v>
      </c>
      <c r="L30" s="200" t="s">
        <v>586</v>
      </c>
      <c r="M30" s="81"/>
      <c r="N30" s="194" t="s">
        <v>270</v>
      </c>
      <c r="O30" s="248" t="s">
        <v>355</v>
      </c>
      <c r="P30" s="250" t="s">
        <v>373</v>
      </c>
      <c r="Q30" s="194" t="s">
        <v>538</v>
      </c>
      <c r="R30" s="194" t="s">
        <v>267</v>
      </c>
      <c r="S30" s="194" t="s">
        <v>267</v>
      </c>
      <c r="T30" s="194" t="s">
        <v>267</v>
      </c>
      <c r="U30" s="194" t="s">
        <v>270</v>
      </c>
      <c r="V30" s="194" t="s">
        <v>267</v>
      </c>
      <c r="W30" s="194" t="s">
        <v>267</v>
      </c>
      <c r="X30" s="194" t="s">
        <v>267</v>
      </c>
      <c r="Y30" s="173" t="s">
        <v>267</v>
      </c>
      <c r="Z30" s="173" t="s">
        <v>399</v>
      </c>
      <c r="AA30" s="194" t="s">
        <v>267</v>
      </c>
      <c r="AB30" s="277" t="s">
        <v>359</v>
      </c>
      <c r="AC30" s="197">
        <v>10</v>
      </c>
      <c r="AD30" s="159"/>
      <c r="AE30" s="192"/>
      <c r="AF30" s="164" t="s">
        <v>404</v>
      </c>
      <c r="AG30" s="216" t="s">
        <v>358</v>
      </c>
      <c r="AH30" s="158">
        <v>2003</v>
      </c>
      <c r="AI30" s="156">
        <v>5</v>
      </c>
      <c r="AJ30" s="27">
        <v>1</v>
      </c>
      <c r="AK30" s="148"/>
      <c r="AL30" s="166" t="s">
        <v>606</v>
      </c>
      <c r="AM30" s="27">
        <v>1590</v>
      </c>
      <c r="AN30" s="27">
        <v>2990</v>
      </c>
      <c r="AO30" s="27"/>
      <c r="AP30" s="27"/>
      <c r="AQ30" s="27"/>
      <c r="AR30" s="27"/>
      <c r="AS30" s="27">
        <f t="shared" si="1"/>
        <v>10764</v>
      </c>
      <c r="AT30" s="184" t="s">
        <v>542</v>
      </c>
      <c r="AU30" s="27">
        <v>59618</v>
      </c>
      <c r="AV30" s="38" t="s">
        <v>497</v>
      </c>
      <c r="AW30" s="38" t="s">
        <v>496</v>
      </c>
      <c r="AX30" s="38"/>
      <c r="AY30" s="45">
        <v>1.9</v>
      </c>
      <c r="AZ30" s="27">
        <v>1754</v>
      </c>
      <c r="BA30" s="38" t="s">
        <v>446</v>
      </c>
      <c r="BB30" s="156">
        <v>400</v>
      </c>
      <c r="BC30" s="156">
        <v>140</v>
      </c>
      <c r="BD30" s="156">
        <v>40</v>
      </c>
      <c r="BE30" s="156">
        <v>220</v>
      </c>
      <c r="BF30" s="190" t="s">
        <v>472</v>
      </c>
      <c r="BG30" s="190" t="s">
        <v>626</v>
      </c>
      <c r="BH30" s="156">
        <v>650</v>
      </c>
      <c r="BI30" s="27"/>
      <c r="BJ30" s="178" t="s">
        <v>267</v>
      </c>
      <c r="BK30" s="27"/>
      <c r="BL30" s="27">
        <v>20</v>
      </c>
      <c r="BM30" s="27">
        <v>1.2</v>
      </c>
      <c r="BN30" s="27">
        <v>246</v>
      </c>
      <c r="BO30" s="38" t="s">
        <v>636</v>
      </c>
      <c r="BP30" s="38"/>
      <c r="BQ30" s="239">
        <v>10</v>
      </c>
      <c r="BR30" s="95">
        <f>((15.63+14.91)/2)*(1000/3)</f>
        <v>5090</v>
      </c>
      <c r="BS30" s="95"/>
      <c r="BT30" s="96"/>
      <c r="BU30" s="96">
        <f>((0.0555+0.0465)/2)*(1000/3)</f>
        <v>17</v>
      </c>
      <c r="BV30" s="96"/>
      <c r="BW30" s="96">
        <f>0.0318*(1000/3)</f>
        <v>10.6</v>
      </c>
      <c r="BX30" s="96"/>
      <c r="BY30" s="96"/>
      <c r="BZ30" s="96"/>
      <c r="CA30" s="96"/>
      <c r="CB30" s="96"/>
      <c r="CC30" s="96">
        <f>1425*(1000/3)</f>
        <v>475000</v>
      </c>
      <c r="CD30" s="96">
        <f>0.00000687*(1000/3)</f>
        <v>2.2899999999999999E-3</v>
      </c>
      <c r="CE30" s="96">
        <f>((0.2739+0.1848)/2)*(1000/3)</f>
        <v>76.449999999999989</v>
      </c>
      <c r="CF30" s="96">
        <f>((0.2136+0.2133)/2)*(1000/3)</f>
        <v>71.149999999999991</v>
      </c>
      <c r="CG30" s="96"/>
      <c r="CH30" s="96">
        <f>((1.503+1/494)/2)*(1000/3)</f>
        <v>250.83738191632926</v>
      </c>
      <c r="CI30" s="96"/>
      <c r="CJ30" s="96"/>
      <c r="CK30" s="96">
        <f>((0.002736+0.002229)/2)*(1000/3)</f>
        <v>0.82750000000000001</v>
      </c>
      <c r="CL30" s="96"/>
      <c r="CM30" s="96"/>
      <c r="CN30" s="96"/>
      <c r="CO30" s="96"/>
      <c r="CP30" s="96"/>
      <c r="CQ30" s="96"/>
      <c r="CR30" s="96"/>
      <c r="CS30" s="96"/>
      <c r="CT30" s="96"/>
      <c r="CU30" s="96"/>
      <c r="CV30" s="96">
        <f>0.01398*(1000/3)</f>
        <v>4.6599999999999993</v>
      </c>
      <c r="CW30" s="175" t="s">
        <v>356</v>
      </c>
      <c r="CX30" s="233" t="s">
        <v>530</v>
      </c>
      <c r="CY30" s="233" t="s">
        <v>270</v>
      </c>
      <c r="CZ30" s="261"/>
      <c r="DA30"/>
      <c r="DB30" s="32"/>
      <c r="DC30" s="32"/>
      <c r="DD30" s="32"/>
      <c r="DE30" s="32"/>
      <c r="DF30" s="32"/>
      <c r="DG30" s="32"/>
      <c r="DH30" s="32"/>
      <c r="DI30" s="32"/>
      <c r="DJ30" s="32"/>
      <c r="DK30" s="32"/>
      <c r="DL30" s="32"/>
      <c r="DM30" s="32"/>
      <c r="DN30" s="32"/>
      <c r="DO30" s="32"/>
      <c r="DP30" s="32"/>
      <c r="DQ30" s="32"/>
      <c r="DR30" s="32"/>
      <c r="DS30" s="32"/>
      <c r="DT30" s="32"/>
      <c r="DU30" s="32"/>
      <c r="DV30" s="32"/>
      <c r="DW30" s="32"/>
      <c r="DX30" s="32"/>
      <c r="DY30" s="32"/>
      <c r="DZ30" s="32"/>
      <c r="EA30" s="32"/>
      <c r="EB30" s="32"/>
      <c r="EC30" s="32"/>
      <c r="ED30" s="32"/>
      <c r="EE30" s="32"/>
      <c r="EF30" s="32"/>
      <c r="EG30" s="32"/>
      <c r="EH30" s="32"/>
      <c r="EI30" s="32"/>
      <c r="EJ30" s="32"/>
      <c r="EK30" s="32"/>
      <c r="EL30" s="32"/>
      <c r="EM30" s="32"/>
      <c r="EN30" s="32"/>
      <c r="EO30" s="32"/>
      <c r="EP30" s="32"/>
      <c r="EQ30" s="32"/>
      <c r="ER30" s="32"/>
      <c r="ES30" s="32"/>
      <c r="ET30" s="32"/>
      <c r="EU30" s="32"/>
      <c r="EV30" s="32"/>
      <c r="EW30" s="32"/>
      <c r="EX30" s="32"/>
      <c r="EY30" s="32"/>
      <c r="EZ30" s="32"/>
      <c r="FA30" s="32"/>
      <c r="FB30" s="32"/>
      <c r="FC30" s="32"/>
      <c r="FD30" s="32"/>
      <c r="FE30" s="32"/>
      <c r="FF30" s="32"/>
    </row>
    <row r="31" spans="1:162" x14ac:dyDescent="0.15">
      <c r="A31" s="226"/>
      <c r="B31" s="16">
        <v>29</v>
      </c>
      <c r="C31" s="226"/>
      <c r="D31" s="208"/>
      <c r="E31" s="230"/>
      <c r="F31" s="223"/>
      <c r="G31" s="201"/>
      <c r="H31" s="201"/>
      <c r="I31" s="18" t="s">
        <v>351</v>
      </c>
      <c r="J31" s="110"/>
      <c r="K31" s="17" t="s">
        <v>364</v>
      </c>
      <c r="L31" s="201"/>
      <c r="M31" s="20"/>
      <c r="N31" s="195"/>
      <c r="O31" s="249"/>
      <c r="P31" s="251"/>
      <c r="Q31" s="195"/>
      <c r="R31" s="195"/>
      <c r="S31" s="195"/>
      <c r="T31" s="195"/>
      <c r="U31" s="195"/>
      <c r="V31" s="195"/>
      <c r="W31" s="195"/>
      <c r="X31" s="195"/>
      <c r="Y31" s="196"/>
      <c r="Z31" s="196"/>
      <c r="AA31" s="195"/>
      <c r="AB31" s="281"/>
      <c r="AC31" s="196"/>
      <c r="AD31" s="161"/>
      <c r="AE31" s="192"/>
      <c r="AF31" s="184"/>
      <c r="AG31" s="217"/>
      <c r="AH31" s="158"/>
      <c r="AI31" s="158"/>
      <c r="AJ31" s="21">
        <v>1</v>
      </c>
      <c r="AK31" s="148"/>
      <c r="AL31" s="166"/>
      <c r="AM31" s="21">
        <v>1067</v>
      </c>
      <c r="AN31" s="21">
        <v>1105</v>
      </c>
      <c r="AO31" s="21"/>
      <c r="AP31" s="21"/>
      <c r="AQ31" s="21"/>
      <c r="AR31" s="21"/>
      <c r="AS31" s="21">
        <f t="shared" si="1"/>
        <v>3978</v>
      </c>
      <c r="AT31" s="184"/>
      <c r="AU31" s="21">
        <v>38333</v>
      </c>
      <c r="AV31" s="23" t="s">
        <v>498</v>
      </c>
      <c r="AW31" s="23" t="s">
        <v>499</v>
      </c>
      <c r="AX31" s="23"/>
      <c r="AY31" s="30">
        <v>3.62</v>
      </c>
      <c r="AZ31" s="21">
        <v>1446</v>
      </c>
      <c r="BA31" s="23" t="s">
        <v>482</v>
      </c>
      <c r="BB31" s="158"/>
      <c r="BC31" s="158"/>
      <c r="BD31" s="158"/>
      <c r="BE31" s="158"/>
      <c r="BF31" s="166"/>
      <c r="BG31" s="166"/>
      <c r="BH31" s="158"/>
      <c r="BI31" s="21"/>
      <c r="BJ31" s="178"/>
      <c r="BK31" s="21"/>
      <c r="BL31" s="21">
        <v>13</v>
      </c>
      <c r="BM31" s="21">
        <v>2.2000000000000002</v>
      </c>
      <c r="BN31" s="21">
        <v>118</v>
      </c>
      <c r="BO31" s="23" t="s">
        <v>637</v>
      </c>
      <c r="BP31" s="23"/>
      <c r="BQ31" s="240"/>
      <c r="BR31" s="98">
        <f>((10.53+9.78)/2)*(1000/3)</f>
        <v>3384.9999999999995</v>
      </c>
      <c r="BS31" s="98"/>
      <c r="BT31" s="100"/>
      <c r="BU31" s="100">
        <f>((0.0333+0.0255)/2)*(1000/3)</f>
        <v>9.8000000000000007</v>
      </c>
      <c r="BV31" s="100"/>
      <c r="BW31" s="100">
        <f>((0.02547+0.02571)/2)*(1000/3)</f>
        <v>8.5299999999999994</v>
      </c>
      <c r="BX31" s="100"/>
      <c r="BY31" s="100"/>
      <c r="BZ31" s="100"/>
      <c r="CA31" s="100"/>
      <c r="CB31" s="100"/>
      <c r="CC31" s="100">
        <f>((945+978)/2)*(1000/3)</f>
        <v>320500</v>
      </c>
      <c r="CD31" s="100">
        <f>((0.00000366+0.00000393)/2)*(1000/3)</f>
        <v>1.2650000000000001E-3</v>
      </c>
      <c r="CE31" s="100">
        <f>((0.1899+0.0975)/2)*(1000/3)</f>
        <v>47.9</v>
      </c>
      <c r="CF31" s="100">
        <f>((0.1347+0.1398)/2)*(1000/3)</f>
        <v>45.749999999999993</v>
      </c>
      <c r="CG31" s="100"/>
      <c r="CH31" s="100">
        <f>((0.891+0.948)/2)*(1000/3)</f>
        <v>306.5</v>
      </c>
      <c r="CI31" s="100"/>
      <c r="CJ31" s="100"/>
      <c r="CK31" s="100">
        <f>((0.002178+0.001716)/2)*(1000/3)</f>
        <v>0.64899999999999991</v>
      </c>
      <c r="CL31" s="100"/>
      <c r="CM31" s="100"/>
      <c r="CN31" s="100"/>
      <c r="CO31" s="100"/>
      <c r="CP31" s="100"/>
      <c r="CQ31" s="100"/>
      <c r="CR31" s="100"/>
      <c r="CS31" s="100"/>
      <c r="CT31" s="100"/>
      <c r="CU31" s="100"/>
      <c r="CV31" s="100">
        <f>((0.00705+0.00732)/2)*(1000/3)</f>
        <v>2.395</v>
      </c>
      <c r="CW31" s="177"/>
      <c r="CX31" s="235"/>
      <c r="CY31" s="235"/>
      <c r="CZ31" s="237"/>
      <c r="DA31"/>
    </row>
    <row r="32" spans="1:162" x14ac:dyDescent="0.15">
      <c r="A32" s="226"/>
      <c r="B32" s="16">
        <v>30</v>
      </c>
      <c r="C32" s="226"/>
      <c r="D32" s="208"/>
      <c r="E32" s="230"/>
      <c r="F32" s="223"/>
      <c r="G32" s="201"/>
      <c r="H32" s="201"/>
      <c r="I32" s="18" t="s">
        <v>352</v>
      </c>
      <c r="J32" s="110"/>
      <c r="K32" s="17" t="s">
        <v>360</v>
      </c>
      <c r="L32" s="201"/>
      <c r="M32" s="20"/>
      <c r="N32" s="195"/>
      <c r="O32" s="249"/>
      <c r="P32" s="251"/>
      <c r="Q32" s="195"/>
      <c r="R32" s="195"/>
      <c r="S32" s="195"/>
      <c r="T32" s="195"/>
      <c r="U32" s="195"/>
      <c r="V32" s="195"/>
      <c r="W32" s="195"/>
      <c r="X32" s="195"/>
      <c r="Y32" s="196"/>
      <c r="Z32" s="196"/>
      <c r="AA32" s="195"/>
      <c r="AB32" s="281"/>
      <c r="AC32" s="196"/>
      <c r="AD32" s="161"/>
      <c r="AE32" s="192"/>
      <c r="AF32" s="184"/>
      <c r="AG32" s="217"/>
      <c r="AH32" s="158"/>
      <c r="AI32" s="158"/>
      <c r="AJ32" s="21">
        <v>1</v>
      </c>
      <c r="AK32" s="148"/>
      <c r="AL32" s="166"/>
      <c r="AM32" s="21">
        <v>1263</v>
      </c>
      <c r="AN32" s="21">
        <v>0</v>
      </c>
      <c r="AO32" s="21">
        <v>1053</v>
      </c>
      <c r="AP32" s="21"/>
      <c r="AQ32" s="21"/>
      <c r="AR32" s="21"/>
      <c r="AS32" s="21">
        <f t="shared" si="1"/>
        <v>45068.399999999994</v>
      </c>
      <c r="AT32" s="184"/>
      <c r="AU32" s="21">
        <v>57895</v>
      </c>
      <c r="AV32" s="23" t="s">
        <v>484</v>
      </c>
      <c r="AW32" s="23"/>
      <c r="AX32" s="23"/>
      <c r="AY32" s="30">
        <v>1.5740000000000001</v>
      </c>
      <c r="AZ32" s="21">
        <v>1398</v>
      </c>
      <c r="BA32" s="23" t="s">
        <v>485</v>
      </c>
      <c r="BB32" s="158"/>
      <c r="BC32" s="158"/>
      <c r="BD32" s="158"/>
      <c r="BE32" s="158"/>
      <c r="BF32" s="166"/>
      <c r="BG32" s="166"/>
      <c r="BH32" s="158"/>
      <c r="BI32" s="21"/>
      <c r="BJ32" s="178"/>
      <c r="BK32" s="21"/>
      <c r="BL32" s="21">
        <v>22</v>
      </c>
      <c r="BM32" s="21">
        <v>1.2</v>
      </c>
      <c r="BN32" s="21">
        <v>1250</v>
      </c>
      <c r="BO32" s="23" t="s">
        <v>638</v>
      </c>
      <c r="BP32" s="23"/>
      <c r="BQ32" s="240"/>
      <c r="BR32" s="98">
        <f>((5.55+4.74)/2)*(1000/3)</f>
        <v>1714.9999999999998</v>
      </c>
      <c r="BS32" s="98"/>
      <c r="BT32" s="100"/>
      <c r="BU32" s="100">
        <f>((0.0306+0.02118)/2)*(1000/3)</f>
        <v>8.629999999999999</v>
      </c>
      <c r="BV32" s="100"/>
      <c r="BW32" s="100">
        <f>0.0333*(1000/3)</f>
        <v>11.1</v>
      </c>
      <c r="BX32" s="100"/>
      <c r="BY32" s="100"/>
      <c r="BZ32" s="100"/>
      <c r="CA32" s="100"/>
      <c r="CB32" s="100"/>
      <c r="CC32" s="100">
        <f>549*(1000/3)</f>
        <v>183000</v>
      </c>
      <c r="CD32" s="100">
        <f>((0.000002391+0.000002394)/2)*(1000/3)</f>
        <v>7.9749999999999992E-4</v>
      </c>
      <c r="CE32" s="100">
        <f>((0.1992+0.1038)/2)*(1000/3)</f>
        <v>50.499999999999993</v>
      </c>
      <c r="CF32" s="100">
        <f>0.0837*(1000/3)</f>
        <v>27.9</v>
      </c>
      <c r="CG32" s="100"/>
      <c r="CH32" s="100">
        <f>((0.573+0.564)/2)*(1000/3)</f>
        <v>189.5</v>
      </c>
      <c r="CI32" s="100"/>
      <c r="CJ32" s="100"/>
      <c r="CK32" s="100">
        <f>((0.001503+0.000963)/2)*(1000/3)</f>
        <v>0.41099999999999998</v>
      </c>
      <c r="CL32" s="100"/>
      <c r="CM32" s="100"/>
      <c r="CN32" s="100"/>
      <c r="CO32" s="100"/>
      <c r="CP32" s="100"/>
      <c r="CQ32" s="100"/>
      <c r="CR32" s="100"/>
      <c r="CS32" s="100"/>
      <c r="CT32" s="100"/>
      <c r="CU32" s="100"/>
      <c r="CV32" s="100">
        <f>((0.00363+0.00342)/2)*(1000/3)</f>
        <v>1.1749999999999998</v>
      </c>
      <c r="CW32" s="177"/>
      <c r="CX32" s="235"/>
      <c r="CY32" s="235"/>
      <c r="CZ32" s="237"/>
      <c r="DA32"/>
    </row>
    <row r="33" spans="1:162" ht="14" customHeight="1" x14ac:dyDescent="0.15">
      <c r="A33" s="226"/>
      <c r="B33" s="16">
        <v>31</v>
      </c>
      <c r="C33" s="226"/>
      <c r="D33" s="208"/>
      <c r="E33" s="230"/>
      <c r="F33" s="223"/>
      <c r="G33" s="201"/>
      <c r="H33" s="203"/>
      <c r="I33" s="18" t="s">
        <v>353</v>
      </c>
      <c r="J33" s="110"/>
      <c r="K33" s="17" t="s">
        <v>361</v>
      </c>
      <c r="L33" s="201"/>
      <c r="M33" s="20"/>
      <c r="N33" s="195"/>
      <c r="O33" s="249"/>
      <c r="P33" s="251"/>
      <c r="Q33" s="195"/>
      <c r="R33" s="195"/>
      <c r="S33" s="195"/>
      <c r="T33" s="195"/>
      <c r="U33" s="195"/>
      <c r="V33" s="195"/>
      <c r="W33" s="195"/>
      <c r="X33" s="195"/>
      <c r="Y33" s="196"/>
      <c r="Z33" s="196"/>
      <c r="AA33" s="195"/>
      <c r="AB33" s="281"/>
      <c r="AC33" s="196"/>
      <c r="AD33" s="161"/>
      <c r="AE33" s="192"/>
      <c r="AF33" s="184"/>
      <c r="AG33" s="22" t="s">
        <v>357</v>
      </c>
      <c r="AH33" s="158"/>
      <c r="AI33" s="158"/>
      <c r="AJ33" s="21">
        <v>1</v>
      </c>
      <c r="AK33" s="148"/>
      <c r="AL33" s="166"/>
      <c r="AM33" s="21">
        <v>1510</v>
      </c>
      <c r="AN33" s="21">
        <v>1267</v>
      </c>
      <c r="AO33" s="21"/>
      <c r="AP33" s="21"/>
      <c r="AQ33" s="21"/>
      <c r="AR33" s="21"/>
      <c r="AS33" s="21">
        <f t="shared" si="1"/>
        <v>4561.2</v>
      </c>
      <c r="AT33" s="184"/>
      <c r="AU33" s="21">
        <v>47180</v>
      </c>
      <c r="AV33" s="23" t="s">
        <v>500</v>
      </c>
      <c r="AW33" s="23" t="s">
        <v>447</v>
      </c>
      <c r="AX33" s="23" t="s">
        <v>501</v>
      </c>
      <c r="AY33" s="30">
        <v>1.4590000000000001</v>
      </c>
      <c r="AZ33" s="21">
        <v>1435</v>
      </c>
      <c r="BA33" s="23" t="s">
        <v>447</v>
      </c>
      <c r="BB33" s="158"/>
      <c r="BC33" s="158"/>
      <c r="BD33" s="158"/>
      <c r="BE33" s="158"/>
      <c r="BF33" s="166"/>
      <c r="BG33" s="166"/>
      <c r="BH33" s="158"/>
      <c r="BI33" s="21"/>
      <c r="BJ33" s="178"/>
      <c r="BK33" s="21"/>
      <c r="BL33" s="21">
        <v>14</v>
      </c>
      <c r="BM33" s="21">
        <v>0.4</v>
      </c>
      <c r="BN33" s="21">
        <v>249</v>
      </c>
      <c r="BO33" s="23" t="s">
        <v>639</v>
      </c>
      <c r="BP33" s="23"/>
      <c r="BQ33" s="240"/>
      <c r="BR33" s="98">
        <f>9.87*(1000/3)</f>
        <v>3289.9999999999995</v>
      </c>
      <c r="BS33" s="98"/>
      <c r="BT33" s="100"/>
      <c r="BU33" s="100">
        <f>0.02985*(1000/3)</f>
        <v>9.9499999999999993</v>
      </c>
      <c r="BV33" s="100"/>
      <c r="BW33" s="100">
        <f>0.00381*(1000/3)</f>
        <v>1.27</v>
      </c>
      <c r="BX33" s="100"/>
      <c r="BY33" s="100"/>
      <c r="BZ33" s="100"/>
      <c r="CA33" s="100"/>
      <c r="CB33" s="100"/>
      <c r="CC33" s="100">
        <f>1326*(1000/3)</f>
        <v>442000</v>
      </c>
      <c r="CD33" s="100">
        <f>0.00000453*(1000/3)</f>
        <v>1.5099999999999998E-3</v>
      </c>
      <c r="CE33" s="100">
        <f>0.1002*(1000/3)</f>
        <v>33.4</v>
      </c>
      <c r="CF33" s="100">
        <f>0.1767*(1000/3)</f>
        <v>58.9</v>
      </c>
      <c r="CG33" s="100"/>
      <c r="CH33" s="100">
        <f>1.212*(1000/3)</f>
        <v>403.99999999999994</v>
      </c>
      <c r="CI33" s="100"/>
      <c r="CJ33" s="100"/>
      <c r="CK33" s="100">
        <f>0.001434*(1000/3)</f>
        <v>0.47799999999999998</v>
      </c>
      <c r="CL33" s="100"/>
      <c r="CM33" s="100"/>
      <c r="CN33" s="100"/>
      <c r="CO33" s="100"/>
      <c r="CP33" s="100"/>
      <c r="CQ33" s="100"/>
      <c r="CR33" s="100"/>
      <c r="CS33" s="100"/>
      <c r="CT33" s="100"/>
      <c r="CU33" s="100"/>
      <c r="CV33" s="100">
        <f>0.00906*(1000/3)</f>
        <v>3.02</v>
      </c>
      <c r="CW33" s="177"/>
      <c r="CX33" s="235"/>
      <c r="CY33" s="235"/>
      <c r="CZ33" s="237"/>
      <c r="DA33"/>
    </row>
    <row r="34" spans="1:162" s="60" customFormat="1" ht="14" customHeight="1" thickBot="1" x14ac:dyDescent="0.2">
      <c r="A34" s="227"/>
      <c r="B34" s="47">
        <v>32</v>
      </c>
      <c r="C34" s="227"/>
      <c r="D34" s="209"/>
      <c r="E34" s="231"/>
      <c r="F34" s="224"/>
      <c r="G34" s="202"/>
      <c r="H34" s="50" t="s">
        <v>367</v>
      </c>
      <c r="I34" s="51" t="s">
        <v>354</v>
      </c>
      <c r="J34" s="65"/>
      <c r="K34" s="50" t="s">
        <v>364</v>
      </c>
      <c r="L34" s="202"/>
      <c r="M34" s="53"/>
      <c r="N34" s="187"/>
      <c r="O34" s="244"/>
      <c r="P34" s="252"/>
      <c r="Q34" s="187"/>
      <c r="R34" s="187"/>
      <c r="S34" s="187"/>
      <c r="T34" s="187"/>
      <c r="U34" s="187"/>
      <c r="V34" s="187"/>
      <c r="W34" s="187"/>
      <c r="X34" s="187"/>
      <c r="Y34" s="174"/>
      <c r="Z34" s="174"/>
      <c r="AA34" s="187"/>
      <c r="AB34" s="278"/>
      <c r="AC34" s="174"/>
      <c r="AD34" s="160"/>
      <c r="AE34" s="192"/>
      <c r="AF34" s="185"/>
      <c r="AG34" s="57" t="s">
        <v>358</v>
      </c>
      <c r="AH34" s="157"/>
      <c r="AI34" s="157"/>
      <c r="AJ34" s="56">
        <v>1</v>
      </c>
      <c r="AK34" s="146"/>
      <c r="AL34" s="169"/>
      <c r="AM34" s="56">
        <v>3900</v>
      </c>
      <c r="AN34" s="56">
        <v>0</v>
      </c>
      <c r="AO34" s="56">
        <v>536</v>
      </c>
      <c r="AP34" s="56"/>
      <c r="AQ34" s="56"/>
      <c r="AR34" s="56"/>
      <c r="AS34" s="56">
        <f t="shared" si="1"/>
        <v>22940.799999999999</v>
      </c>
      <c r="AT34" s="184"/>
      <c r="AU34" s="56">
        <v>82508</v>
      </c>
      <c r="AV34" s="58"/>
      <c r="AW34" s="58" t="s">
        <v>441</v>
      </c>
      <c r="AX34" s="58"/>
      <c r="AY34" s="59">
        <v>1.8879999999999999</v>
      </c>
      <c r="AZ34" s="56">
        <v>1888</v>
      </c>
      <c r="BA34" s="58"/>
      <c r="BB34" s="157"/>
      <c r="BC34" s="157"/>
      <c r="BD34" s="157"/>
      <c r="BE34" s="157"/>
      <c r="BF34" s="169"/>
      <c r="BG34" s="169"/>
      <c r="BH34" s="157"/>
      <c r="BI34" s="56"/>
      <c r="BJ34" s="179"/>
      <c r="BK34" s="56"/>
      <c r="BL34" s="56">
        <v>36</v>
      </c>
      <c r="BM34" s="56">
        <v>2.5</v>
      </c>
      <c r="BN34" s="56">
        <v>765</v>
      </c>
      <c r="BO34" s="58" t="s">
        <v>640</v>
      </c>
      <c r="BP34" s="58" t="s">
        <v>481</v>
      </c>
      <c r="BQ34" s="241"/>
      <c r="BR34" s="90">
        <f>2.703*(1000/3)</f>
        <v>900.99999999999989</v>
      </c>
      <c r="BS34" s="90"/>
      <c r="BT34" s="89"/>
      <c r="BU34" s="89">
        <f>0.01131*(1000/3)</f>
        <v>3.77</v>
      </c>
      <c r="BV34" s="89"/>
      <c r="BW34" s="89">
        <f>0.0345*(1000/3)</f>
        <v>11.5</v>
      </c>
      <c r="BX34" s="89"/>
      <c r="BY34" s="89"/>
      <c r="BZ34" s="89"/>
      <c r="CA34" s="89"/>
      <c r="CB34" s="89"/>
      <c r="CC34" s="89">
        <f>183.9*(1000/3)</f>
        <v>61300</v>
      </c>
      <c r="CD34" s="89">
        <f>0.000001851*(1000/3)</f>
        <v>6.1699999999999993E-4</v>
      </c>
      <c r="CE34" s="89">
        <f>(0.0585*(1000/3))</f>
        <v>19.5</v>
      </c>
      <c r="CF34" s="89">
        <f>0.0423*(1000/3)</f>
        <v>14.099999999999998</v>
      </c>
      <c r="CG34" s="89"/>
      <c r="CH34" s="89">
        <f>0.303*(1000/3)</f>
        <v>100.99999999999999</v>
      </c>
      <c r="CI34" s="89"/>
      <c r="CJ34" s="89"/>
      <c r="CK34" s="89">
        <f>0.000549*(1000/3)</f>
        <v>0.183</v>
      </c>
      <c r="CL34" s="89"/>
      <c r="CM34" s="89"/>
      <c r="CN34" s="89"/>
      <c r="CO34" s="89"/>
      <c r="CP34" s="89"/>
      <c r="CQ34" s="89"/>
      <c r="CR34" s="89"/>
      <c r="CS34" s="89"/>
      <c r="CT34" s="89"/>
      <c r="CU34" s="89"/>
      <c r="CV34" s="89">
        <f>0.00189*(1000/3)</f>
        <v>0.63</v>
      </c>
      <c r="CW34" s="176"/>
      <c r="CX34" s="234"/>
      <c r="CY34" s="234"/>
      <c r="CZ34" s="238"/>
      <c r="DA34" s="32"/>
      <c r="DB34" s="32"/>
      <c r="DC34" s="32"/>
      <c r="DD34" s="32"/>
      <c r="DE34" s="32"/>
      <c r="DF34" s="32"/>
      <c r="DG34" s="32"/>
      <c r="DH34" s="32"/>
      <c r="DI34" s="32"/>
      <c r="DJ34" s="32"/>
      <c r="DK34" s="32"/>
      <c r="DL34" s="32"/>
      <c r="DM34" s="32"/>
      <c r="DN34" s="32"/>
      <c r="DO34" s="32"/>
      <c r="DP34" s="32"/>
      <c r="DQ34" s="32"/>
      <c r="DR34" s="32"/>
      <c r="DS34" s="32"/>
      <c r="DT34" s="32"/>
      <c r="DU34" s="32"/>
      <c r="DV34" s="32"/>
      <c r="DW34" s="32"/>
      <c r="DX34" s="32"/>
      <c r="DY34" s="32"/>
      <c r="DZ34" s="32"/>
      <c r="EA34" s="32"/>
      <c r="EB34" s="32"/>
      <c r="EC34" s="32"/>
      <c r="ED34" s="32"/>
      <c r="EE34" s="32"/>
      <c r="EF34" s="32"/>
      <c r="EG34" s="32"/>
      <c r="EH34" s="32"/>
      <c r="EI34" s="32"/>
      <c r="EJ34" s="32"/>
      <c r="EK34" s="32"/>
      <c r="EL34" s="32"/>
      <c r="EM34" s="32"/>
      <c r="EN34" s="32"/>
      <c r="EO34" s="32"/>
      <c r="EP34" s="32"/>
      <c r="EQ34" s="32"/>
      <c r="ER34" s="32"/>
      <c r="ES34" s="32"/>
      <c r="ET34" s="32"/>
      <c r="EU34" s="32"/>
      <c r="EV34" s="32"/>
      <c r="EW34" s="32"/>
      <c r="EX34" s="32"/>
      <c r="EY34" s="32"/>
      <c r="EZ34" s="32"/>
      <c r="FA34" s="32"/>
      <c r="FB34" s="32"/>
      <c r="FC34" s="32"/>
      <c r="FD34" s="32"/>
      <c r="FE34" s="32"/>
      <c r="FF34" s="32"/>
    </row>
    <row r="35" spans="1:162" s="74" customFormat="1" ht="14" customHeight="1" thickBot="1" x14ac:dyDescent="0.2">
      <c r="A35" s="62">
        <v>14</v>
      </c>
      <c r="B35" s="62">
        <v>33</v>
      </c>
      <c r="C35" s="62">
        <v>2023</v>
      </c>
      <c r="D35" s="63" t="s">
        <v>282</v>
      </c>
      <c r="E35" s="64" t="s">
        <v>225</v>
      </c>
      <c r="F35" s="63" t="s">
        <v>335</v>
      </c>
      <c r="G35" s="65" t="s">
        <v>268</v>
      </c>
      <c r="H35" s="65" t="s">
        <v>368</v>
      </c>
      <c r="I35" s="66"/>
      <c r="J35" s="67"/>
      <c r="K35" s="65"/>
      <c r="L35" s="65" t="s">
        <v>587</v>
      </c>
      <c r="M35" s="65"/>
      <c r="N35" s="69" t="s">
        <v>270</v>
      </c>
      <c r="O35" s="68" t="s">
        <v>296</v>
      </c>
      <c r="P35" s="69">
        <v>1</v>
      </c>
      <c r="Q35" s="55" t="s">
        <v>538</v>
      </c>
      <c r="R35" s="69" t="s">
        <v>267</v>
      </c>
      <c r="S35" s="69" t="s">
        <v>267</v>
      </c>
      <c r="T35" s="69" t="s">
        <v>270</v>
      </c>
      <c r="U35" s="69" t="s">
        <v>270</v>
      </c>
      <c r="V35" s="69" t="s">
        <v>267</v>
      </c>
      <c r="W35" s="69" t="s">
        <v>270</v>
      </c>
      <c r="X35" s="69" t="s">
        <v>267</v>
      </c>
      <c r="Y35" s="69" t="s">
        <v>267</v>
      </c>
      <c r="Z35" s="69"/>
      <c r="AA35" s="69" t="s">
        <v>270</v>
      </c>
      <c r="AB35" s="119" t="s">
        <v>299</v>
      </c>
      <c r="AC35" s="69">
        <v>0</v>
      </c>
      <c r="AD35" s="68"/>
      <c r="AE35" s="192"/>
      <c r="AF35" s="70" t="s">
        <v>462</v>
      </c>
      <c r="AG35" s="71" t="s">
        <v>295</v>
      </c>
      <c r="AH35" s="70"/>
      <c r="AI35" s="70">
        <v>1</v>
      </c>
      <c r="AJ35" s="70">
        <v>1</v>
      </c>
      <c r="AK35" s="146"/>
      <c r="AL35" s="72" t="s">
        <v>298</v>
      </c>
      <c r="AM35" s="70"/>
      <c r="AN35" s="70">
        <f>0.0077162*1000</f>
        <v>7.7162000000000006</v>
      </c>
      <c r="AO35" s="70">
        <f>0.1322774*1000</f>
        <v>132.2774</v>
      </c>
      <c r="AP35" s="70"/>
      <c r="AQ35" s="70"/>
      <c r="AR35" s="70"/>
      <c r="AS35" s="70">
        <f t="shared" si="1"/>
        <v>5689.2510400000001</v>
      </c>
      <c r="AT35" s="70" t="s">
        <v>541</v>
      </c>
      <c r="AU35" s="70">
        <f>0.0000002315*1000</f>
        <v>2.3149999999999999E-4</v>
      </c>
      <c r="AV35" s="72" t="s">
        <v>442</v>
      </c>
      <c r="AW35" s="72"/>
      <c r="AX35" s="72"/>
      <c r="AY35" s="73">
        <v>1.5</v>
      </c>
      <c r="AZ35" s="70">
        <f>1.5*1000</f>
        <v>1500</v>
      </c>
      <c r="BA35" s="72"/>
      <c r="BB35" s="70">
        <v>460</v>
      </c>
      <c r="BC35" s="70">
        <v>130</v>
      </c>
      <c r="BD35" s="70">
        <v>30</v>
      </c>
      <c r="BE35" s="70">
        <v>260</v>
      </c>
      <c r="BF35" s="72" t="s">
        <v>475</v>
      </c>
      <c r="BG35" s="72" t="s">
        <v>629</v>
      </c>
      <c r="BH35" s="70"/>
      <c r="BI35" s="70"/>
      <c r="BJ35" s="70" t="s">
        <v>270</v>
      </c>
      <c r="BK35" s="70">
        <f>0.3465486*1000</f>
        <v>346.54859999999996</v>
      </c>
      <c r="BL35" s="70">
        <v>5.9099999999999997E-9</v>
      </c>
      <c r="BM35" s="70">
        <f>(5.598*10^-13)*1000</f>
        <v>5.5979999999999997E-10</v>
      </c>
      <c r="BN35" s="70">
        <f>(0.00000000002115)*1000</f>
        <v>2.1150000000000001E-8</v>
      </c>
      <c r="BO35" s="72" t="s">
        <v>635</v>
      </c>
      <c r="BP35" s="72"/>
      <c r="BQ35" s="92">
        <v>0</v>
      </c>
      <c r="BR35" s="94"/>
      <c r="BS35" s="94"/>
      <c r="BT35" s="92"/>
      <c r="BU35" s="92"/>
      <c r="BV35" s="92"/>
      <c r="BW35" s="92"/>
      <c r="BX35" s="92"/>
      <c r="BY35" s="92"/>
      <c r="BZ35" s="92"/>
      <c r="CA35" s="92"/>
      <c r="CB35" s="92"/>
      <c r="CC35" s="92"/>
      <c r="CD35" s="122"/>
      <c r="CE35" s="92"/>
      <c r="CF35" s="92"/>
      <c r="CG35" s="92"/>
      <c r="CH35" s="92"/>
      <c r="CI35" s="92"/>
      <c r="CJ35" s="92"/>
      <c r="CK35" s="92"/>
      <c r="CL35" s="92"/>
      <c r="CM35" s="92"/>
      <c r="CN35" s="92"/>
      <c r="CO35" s="92"/>
      <c r="CP35" s="92"/>
      <c r="CQ35" s="92"/>
      <c r="CR35" s="92"/>
      <c r="CS35" s="92"/>
      <c r="CT35" s="92"/>
      <c r="CU35" s="92"/>
      <c r="CV35" s="92"/>
      <c r="CW35" s="94" t="s">
        <v>297</v>
      </c>
      <c r="CX35" s="104"/>
      <c r="CY35" s="105" t="s">
        <v>270</v>
      </c>
      <c r="CZ35" s="135"/>
      <c r="DA35" s="32"/>
      <c r="DB35" s="32"/>
      <c r="DC35" s="32"/>
      <c r="DD35" s="32"/>
      <c r="DE35" s="32"/>
      <c r="DF35" s="32"/>
      <c r="DG35" s="32"/>
      <c r="DH35" s="32"/>
      <c r="DI35" s="32"/>
      <c r="DJ35" s="32"/>
      <c r="DK35" s="32"/>
      <c r="DL35" s="32"/>
      <c r="DM35" s="32"/>
      <c r="DN35" s="32"/>
      <c r="DO35" s="32"/>
      <c r="DP35" s="32"/>
      <c r="DQ35" s="32"/>
      <c r="DR35" s="32"/>
      <c r="DS35" s="32"/>
      <c r="DT35" s="32"/>
      <c r="DU35" s="32"/>
      <c r="DV35" s="32"/>
      <c r="DW35" s="32"/>
      <c r="DX35" s="32"/>
      <c r="DY35" s="32"/>
      <c r="DZ35" s="32"/>
      <c r="EA35" s="32"/>
      <c r="EB35" s="32"/>
      <c r="EC35" s="32"/>
      <c r="ED35" s="32"/>
      <c r="EE35" s="32"/>
      <c r="EF35" s="32"/>
      <c r="EG35" s="32"/>
      <c r="EH35" s="32"/>
      <c r="EI35" s="32"/>
      <c r="EJ35" s="32"/>
      <c r="EK35" s="32"/>
      <c r="EL35" s="32"/>
      <c r="EM35" s="32"/>
      <c r="EN35" s="32"/>
      <c r="EO35" s="32"/>
      <c r="EP35" s="32"/>
      <c r="EQ35" s="32"/>
      <c r="ER35" s="32"/>
      <c r="ES35" s="32"/>
      <c r="ET35" s="32"/>
      <c r="EU35" s="32"/>
      <c r="EV35" s="32"/>
      <c r="EW35" s="32"/>
      <c r="EX35" s="32"/>
      <c r="EY35" s="32"/>
      <c r="EZ35" s="32"/>
      <c r="FA35" s="32"/>
      <c r="FB35" s="32"/>
      <c r="FC35" s="32"/>
      <c r="FD35" s="32"/>
      <c r="FE35" s="32"/>
      <c r="FF35" s="32"/>
    </row>
    <row r="36" spans="1:162" s="46" customFormat="1" ht="14" customHeight="1" x14ac:dyDescent="0.15">
      <c r="A36" s="228">
        <v>15</v>
      </c>
      <c r="B36" s="28">
        <v>34</v>
      </c>
      <c r="C36" s="228">
        <v>2023</v>
      </c>
      <c r="D36" s="210" t="s">
        <v>280</v>
      </c>
      <c r="E36" s="232" t="s">
        <v>8</v>
      </c>
      <c r="F36" s="210" t="s">
        <v>237</v>
      </c>
      <c r="G36" s="200" t="s">
        <v>268</v>
      </c>
      <c r="H36" s="200" t="s">
        <v>368</v>
      </c>
      <c r="I36" s="78" t="s">
        <v>301</v>
      </c>
      <c r="J36" s="200" t="s">
        <v>308</v>
      </c>
      <c r="K36" s="109"/>
      <c r="L36" s="200" t="s">
        <v>435</v>
      </c>
      <c r="M36" s="109"/>
      <c r="N36" s="186" t="s">
        <v>267</v>
      </c>
      <c r="O36" s="249" t="s">
        <v>466</v>
      </c>
      <c r="P36" s="195">
        <v>1000</v>
      </c>
      <c r="Q36" s="195" t="s">
        <v>538</v>
      </c>
      <c r="R36" s="195" t="s">
        <v>267</v>
      </c>
      <c r="S36" s="195" t="s">
        <v>267</v>
      </c>
      <c r="T36" s="195" t="s">
        <v>270</v>
      </c>
      <c r="U36" s="195" t="s">
        <v>270</v>
      </c>
      <c r="V36" s="195" t="s">
        <v>270</v>
      </c>
      <c r="W36" s="195" t="s">
        <v>270</v>
      </c>
      <c r="X36" s="195" t="s">
        <v>267</v>
      </c>
      <c r="Y36" s="173" t="s">
        <v>267</v>
      </c>
      <c r="Z36" s="173"/>
      <c r="AA36" s="173" t="s">
        <v>267</v>
      </c>
      <c r="AB36" s="277" t="s">
        <v>307</v>
      </c>
      <c r="AC36" s="173">
        <v>11</v>
      </c>
      <c r="AD36" s="159" t="s">
        <v>656</v>
      </c>
      <c r="AE36" s="192"/>
      <c r="AF36" s="211" t="s">
        <v>459</v>
      </c>
      <c r="AG36" s="82" t="s">
        <v>305</v>
      </c>
      <c r="AH36" s="156"/>
      <c r="AI36" s="156">
        <v>15</v>
      </c>
      <c r="AJ36" s="80">
        <v>3</v>
      </c>
      <c r="AK36" s="147"/>
      <c r="AL36" s="218" t="s">
        <v>609</v>
      </c>
      <c r="AM36" s="27"/>
      <c r="AN36" s="27">
        <v>3692.1</v>
      </c>
      <c r="AO36" s="27"/>
      <c r="AP36" s="27"/>
      <c r="AQ36" s="27"/>
      <c r="AR36" s="27"/>
      <c r="AS36" s="27">
        <f t="shared" si="1"/>
        <v>13291.56</v>
      </c>
      <c r="AT36" s="27"/>
      <c r="AU36" s="27"/>
      <c r="AV36" s="38" t="s">
        <v>544</v>
      </c>
      <c r="AW36" s="38"/>
      <c r="AX36" s="38"/>
      <c r="AY36" s="45">
        <v>1.2</v>
      </c>
      <c r="AZ36" s="27">
        <v>1128.7</v>
      </c>
      <c r="BA36" s="38"/>
      <c r="BB36" s="156">
        <v>230</v>
      </c>
      <c r="BC36" s="156">
        <v>220</v>
      </c>
      <c r="BD36" s="156">
        <v>15</v>
      </c>
      <c r="BE36" s="156">
        <v>200</v>
      </c>
      <c r="BF36" s="170" t="s">
        <v>473</v>
      </c>
      <c r="BG36" s="38"/>
      <c r="BH36" s="27"/>
      <c r="BI36" s="27"/>
      <c r="BJ36" s="165" t="s">
        <v>270</v>
      </c>
      <c r="BK36" s="27"/>
      <c r="BL36" s="27">
        <v>21.2</v>
      </c>
      <c r="BM36" s="27">
        <v>2.2000000000000002</v>
      </c>
      <c r="BN36" s="27">
        <v>42.6</v>
      </c>
      <c r="BO36" s="38" t="s">
        <v>651</v>
      </c>
      <c r="BP36" s="38"/>
      <c r="BQ36" s="264">
        <v>11</v>
      </c>
      <c r="BR36" s="97"/>
      <c r="BS36" s="95"/>
      <c r="BT36" s="96">
        <v>4420</v>
      </c>
      <c r="BU36" s="96">
        <v>38.700000000000003</v>
      </c>
      <c r="BV36" s="96"/>
      <c r="BW36" s="129">
        <v>21.8</v>
      </c>
      <c r="BX36" s="129"/>
      <c r="BY36" s="96"/>
      <c r="BZ36" s="96"/>
      <c r="CA36" s="129"/>
      <c r="CB36" s="129"/>
      <c r="CC36" s="129">
        <v>31.2</v>
      </c>
      <c r="CD36" s="96">
        <f>0.0000000000684</f>
        <v>6.8400000000000004E-11</v>
      </c>
      <c r="CE36" s="129">
        <v>18.899999999999999</v>
      </c>
      <c r="CF36" s="129">
        <v>152</v>
      </c>
      <c r="CG36" s="96"/>
      <c r="CH36" s="129">
        <v>566</v>
      </c>
      <c r="CI36" s="96"/>
      <c r="CJ36" s="96"/>
      <c r="CK36" s="96">
        <v>2.11</v>
      </c>
      <c r="CL36" s="129"/>
      <c r="CM36" s="129"/>
      <c r="CN36" s="129"/>
      <c r="CO36" s="96"/>
      <c r="CP36" s="129"/>
      <c r="CQ36" s="96"/>
      <c r="CR36" s="129">
        <v>270</v>
      </c>
      <c r="CS36" s="129">
        <v>50.7</v>
      </c>
      <c r="CT36" s="96"/>
      <c r="CU36" s="96"/>
      <c r="CV36" s="96"/>
      <c r="CW36" s="175" t="s">
        <v>306</v>
      </c>
      <c r="CX36" s="233"/>
      <c r="CY36" s="233" t="s">
        <v>267</v>
      </c>
      <c r="CZ36" s="236">
        <v>0.95</v>
      </c>
      <c r="DA36"/>
      <c r="DB36" s="32"/>
      <c r="DC36" s="32"/>
      <c r="DD36" s="32"/>
      <c r="DE36" s="32"/>
      <c r="DF36" s="32"/>
      <c r="DG36" s="32"/>
      <c r="DH36" s="32"/>
      <c r="DI36" s="32"/>
      <c r="DJ36" s="32"/>
      <c r="DK36" s="32"/>
      <c r="DL36" s="32"/>
      <c r="DM36" s="32"/>
      <c r="DN36" s="32"/>
      <c r="DO36" s="32"/>
      <c r="DP36" s="32"/>
      <c r="DQ36" s="32"/>
      <c r="DR36" s="32"/>
      <c r="DS36" s="32"/>
      <c r="DT36" s="32"/>
      <c r="DU36" s="32"/>
      <c r="DV36" s="32"/>
      <c r="DW36" s="32"/>
      <c r="DX36" s="32"/>
      <c r="DY36" s="32"/>
      <c r="DZ36" s="32"/>
      <c r="EA36" s="32"/>
      <c r="EB36" s="32"/>
      <c r="EC36" s="32"/>
      <c r="ED36" s="32"/>
      <c r="EE36" s="32"/>
      <c r="EF36" s="32"/>
      <c r="EG36" s="32"/>
      <c r="EH36" s="32"/>
      <c r="EI36" s="32"/>
      <c r="EJ36" s="32"/>
      <c r="EK36" s="32"/>
      <c r="EL36" s="32"/>
      <c r="EM36" s="32"/>
      <c r="EN36" s="32"/>
      <c r="EO36" s="32"/>
      <c r="EP36" s="32"/>
      <c r="EQ36" s="32"/>
      <c r="ER36" s="32"/>
      <c r="ES36" s="32"/>
      <c r="ET36" s="32"/>
      <c r="EU36" s="32"/>
      <c r="EV36" s="32"/>
      <c r="EW36" s="32"/>
      <c r="EX36" s="32"/>
      <c r="EY36" s="32"/>
      <c r="EZ36" s="32"/>
      <c r="FA36" s="32"/>
      <c r="FB36" s="32"/>
      <c r="FC36" s="32"/>
      <c r="FD36" s="32"/>
      <c r="FE36" s="32"/>
      <c r="FF36" s="32"/>
    </row>
    <row r="37" spans="1:162" x14ac:dyDescent="0.15">
      <c r="A37" s="226"/>
      <c r="B37" s="16">
        <v>35</v>
      </c>
      <c r="C37" s="226"/>
      <c r="D37" s="208"/>
      <c r="E37" s="230"/>
      <c r="F37" s="208"/>
      <c r="G37" s="201"/>
      <c r="H37" s="201"/>
      <c r="I37" s="18" t="s">
        <v>302</v>
      </c>
      <c r="J37" s="201"/>
      <c r="K37" s="110"/>
      <c r="L37" s="201"/>
      <c r="M37" s="110"/>
      <c r="N37" s="195"/>
      <c r="O37" s="249"/>
      <c r="P37" s="195"/>
      <c r="Q37" s="195"/>
      <c r="R37" s="195"/>
      <c r="S37" s="195"/>
      <c r="T37" s="195"/>
      <c r="U37" s="195"/>
      <c r="V37" s="195"/>
      <c r="W37" s="195"/>
      <c r="X37" s="195"/>
      <c r="Y37" s="196"/>
      <c r="Z37" s="196"/>
      <c r="AA37" s="196"/>
      <c r="AB37" s="281"/>
      <c r="AC37" s="196"/>
      <c r="AD37" s="161"/>
      <c r="AE37" s="192"/>
      <c r="AF37" s="184"/>
      <c r="AG37" s="217" t="s">
        <v>300</v>
      </c>
      <c r="AH37" s="158"/>
      <c r="AI37" s="158"/>
      <c r="AJ37" s="21">
        <v>3</v>
      </c>
      <c r="AK37" s="148"/>
      <c r="AL37" s="219"/>
      <c r="AM37" s="21"/>
      <c r="AN37" s="21">
        <v>3919.5</v>
      </c>
      <c r="AO37" s="21"/>
      <c r="AP37" s="21"/>
      <c r="AQ37" s="21"/>
      <c r="AR37" s="21"/>
      <c r="AS37" s="21">
        <f t="shared" si="1"/>
        <v>14110.2</v>
      </c>
      <c r="AT37" s="21"/>
      <c r="AU37" s="21"/>
      <c r="AV37" s="23" t="s">
        <v>545</v>
      </c>
      <c r="AW37" s="23"/>
      <c r="AX37" s="23"/>
      <c r="AY37" s="30">
        <v>1.1499999999999999</v>
      </c>
      <c r="AZ37" s="21">
        <v>1126.8</v>
      </c>
      <c r="BA37" s="23" t="s">
        <v>483</v>
      </c>
      <c r="BB37" s="158"/>
      <c r="BC37" s="158"/>
      <c r="BD37" s="158"/>
      <c r="BE37" s="158"/>
      <c r="BF37" s="171"/>
      <c r="BG37" s="23"/>
      <c r="BH37" s="21"/>
      <c r="BI37" s="21"/>
      <c r="BJ37" s="158"/>
      <c r="BK37" s="21"/>
      <c r="BL37" s="21">
        <v>23.5</v>
      </c>
      <c r="BM37" s="21">
        <v>3.7</v>
      </c>
      <c r="BN37" s="21">
        <v>202.9</v>
      </c>
      <c r="BO37" s="23" t="s">
        <v>652</v>
      </c>
      <c r="BP37" s="23"/>
      <c r="BQ37" s="240"/>
      <c r="BR37" s="99"/>
      <c r="BS37" s="98"/>
      <c r="BT37" s="100">
        <v>4660</v>
      </c>
      <c r="BU37" s="100">
        <v>40.6</v>
      </c>
      <c r="BV37" s="100"/>
      <c r="BW37" s="130">
        <v>25.9</v>
      </c>
      <c r="BX37" s="130"/>
      <c r="BY37" s="100"/>
      <c r="BZ37" s="100"/>
      <c r="CA37" s="130"/>
      <c r="CB37" s="130"/>
      <c r="CC37" s="130">
        <v>31.8</v>
      </c>
      <c r="CD37" s="100">
        <f>0.0000000000631</f>
        <v>6.3099999999999994E-11</v>
      </c>
      <c r="CE37" s="130">
        <v>19.600000000000001</v>
      </c>
      <c r="CF37" s="130">
        <v>137</v>
      </c>
      <c r="CG37" s="100"/>
      <c r="CH37" s="130">
        <v>574</v>
      </c>
      <c r="CI37" s="100"/>
      <c r="CJ37" s="100"/>
      <c r="CK37" s="100">
        <v>2.04</v>
      </c>
      <c r="CL37" s="130"/>
      <c r="CM37" s="130"/>
      <c r="CN37" s="130"/>
      <c r="CO37" s="100"/>
      <c r="CP37" s="130"/>
      <c r="CQ37" s="100"/>
      <c r="CR37" s="130">
        <v>242</v>
      </c>
      <c r="CS37" s="130">
        <v>51.6</v>
      </c>
      <c r="CT37" s="100"/>
      <c r="CU37" s="100"/>
      <c r="CV37" s="100"/>
      <c r="CW37" s="177"/>
      <c r="CX37" s="235"/>
      <c r="CY37" s="235"/>
      <c r="CZ37" s="237"/>
      <c r="DA37"/>
    </row>
    <row r="38" spans="1:162" s="287" customFormat="1" ht="15" thickBot="1" x14ac:dyDescent="0.2">
      <c r="A38" s="227"/>
      <c r="B38" s="153">
        <v>36</v>
      </c>
      <c r="C38" s="227"/>
      <c r="D38" s="209"/>
      <c r="E38" s="231"/>
      <c r="F38" s="209"/>
      <c r="G38" s="202"/>
      <c r="H38" s="202"/>
      <c r="I38" s="282" t="s">
        <v>303</v>
      </c>
      <c r="J38" s="202"/>
      <c r="K38" s="110"/>
      <c r="L38" s="202"/>
      <c r="M38" s="110"/>
      <c r="N38" s="187"/>
      <c r="O38" s="249"/>
      <c r="P38" s="195"/>
      <c r="Q38" s="195"/>
      <c r="R38" s="195"/>
      <c r="S38" s="195"/>
      <c r="T38" s="195"/>
      <c r="U38" s="195"/>
      <c r="V38" s="195"/>
      <c r="W38" s="195"/>
      <c r="X38" s="195"/>
      <c r="Y38" s="174"/>
      <c r="Z38" s="174"/>
      <c r="AA38" s="174"/>
      <c r="AB38" s="278"/>
      <c r="AC38" s="174"/>
      <c r="AD38" s="248"/>
      <c r="AE38" s="192"/>
      <c r="AF38" s="184"/>
      <c r="AG38" s="217"/>
      <c r="AH38" s="164"/>
      <c r="AI38" s="157"/>
      <c r="AJ38" s="155">
        <v>9</v>
      </c>
      <c r="AK38" s="148"/>
      <c r="AL38" s="216"/>
      <c r="AM38" s="155"/>
      <c r="AN38" s="155">
        <v>4238.6000000000004</v>
      </c>
      <c r="AO38" s="155"/>
      <c r="AP38" s="155"/>
      <c r="AQ38" s="155"/>
      <c r="AR38" s="155"/>
      <c r="AS38" s="155">
        <f t="shared" si="1"/>
        <v>15258.960000000001</v>
      </c>
      <c r="AT38" s="155"/>
      <c r="AU38" s="155"/>
      <c r="AV38" s="152" t="s">
        <v>546</v>
      </c>
      <c r="AW38" s="152"/>
      <c r="AX38" s="152"/>
      <c r="AY38" s="283">
        <v>1.4</v>
      </c>
      <c r="AZ38" s="155">
        <v>1286</v>
      </c>
      <c r="BA38" s="152"/>
      <c r="BB38" s="157"/>
      <c r="BC38" s="157"/>
      <c r="BD38" s="157"/>
      <c r="BE38" s="157"/>
      <c r="BF38" s="172"/>
      <c r="BG38" s="152"/>
      <c r="BH38" s="155"/>
      <c r="BI38" s="155"/>
      <c r="BJ38" s="157"/>
      <c r="BK38" s="155"/>
      <c r="BL38" s="155">
        <v>47.3</v>
      </c>
      <c r="BM38" s="155">
        <v>4.7</v>
      </c>
      <c r="BN38" s="155">
        <v>597.79999999999995</v>
      </c>
      <c r="BO38" s="152" t="s">
        <v>653</v>
      </c>
      <c r="BP38" s="152"/>
      <c r="BQ38" s="241"/>
      <c r="BR38" s="284"/>
      <c r="BS38" s="285"/>
      <c r="BT38" s="151">
        <v>4970</v>
      </c>
      <c r="BU38" s="151">
        <v>43.8</v>
      </c>
      <c r="BV38" s="151"/>
      <c r="BW38" s="286">
        <v>36.200000000000003</v>
      </c>
      <c r="BX38" s="286"/>
      <c r="BY38" s="151"/>
      <c r="BZ38" s="151"/>
      <c r="CA38" s="286"/>
      <c r="CB38" s="286"/>
      <c r="CC38" s="286">
        <v>71.400000000000006</v>
      </c>
      <c r="CD38" s="151">
        <f>0.0000000000743</f>
        <v>7.4300000000000005E-11</v>
      </c>
      <c r="CE38" s="286">
        <v>35</v>
      </c>
      <c r="CF38" s="286">
        <v>168</v>
      </c>
      <c r="CG38" s="151"/>
      <c r="CH38" s="286">
        <v>903</v>
      </c>
      <c r="CI38" s="151"/>
      <c r="CJ38" s="151"/>
      <c r="CK38" s="151">
        <v>2.69</v>
      </c>
      <c r="CL38" s="286"/>
      <c r="CM38" s="286"/>
      <c r="CN38" s="286"/>
      <c r="CO38" s="151"/>
      <c r="CP38" s="286"/>
      <c r="CQ38" s="151"/>
      <c r="CR38" s="286">
        <v>301</v>
      </c>
      <c r="CS38" s="286">
        <v>156</v>
      </c>
      <c r="CT38" s="151"/>
      <c r="CU38" s="151"/>
      <c r="CV38" s="151"/>
      <c r="CW38" s="176"/>
      <c r="CX38" s="234"/>
      <c r="CY38" s="234"/>
      <c r="CZ38" s="238"/>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row>
    <row r="39" spans="1:162" s="60" customFormat="1" ht="14" customHeight="1" thickBot="1" x14ac:dyDescent="0.2">
      <c r="A39" s="47">
        <v>16</v>
      </c>
      <c r="B39" s="47">
        <v>37</v>
      </c>
      <c r="C39" s="47">
        <v>2014</v>
      </c>
      <c r="D39" s="48" t="s">
        <v>283</v>
      </c>
      <c r="E39" s="49" t="s">
        <v>185</v>
      </c>
      <c r="F39" s="48" t="s">
        <v>330</v>
      </c>
      <c r="G39" s="50" t="s">
        <v>268</v>
      </c>
      <c r="H39" s="50"/>
      <c r="I39" s="52"/>
      <c r="J39" s="52"/>
      <c r="K39" s="50"/>
      <c r="L39" s="50"/>
      <c r="M39" s="50"/>
      <c r="N39" s="55" t="s">
        <v>270</v>
      </c>
      <c r="O39" s="54" t="s">
        <v>425</v>
      </c>
      <c r="P39" s="55">
        <v>1</v>
      </c>
      <c r="Q39" s="55" t="s">
        <v>386</v>
      </c>
      <c r="R39" s="55" t="s">
        <v>270</v>
      </c>
      <c r="S39" s="55" t="s">
        <v>267</v>
      </c>
      <c r="T39" s="55" t="s">
        <v>270</v>
      </c>
      <c r="U39" s="55" t="s">
        <v>270</v>
      </c>
      <c r="V39" s="55" t="s">
        <v>270</v>
      </c>
      <c r="W39" s="55" t="s">
        <v>270</v>
      </c>
      <c r="X39" s="55" t="s">
        <v>270</v>
      </c>
      <c r="Y39" s="55" t="s">
        <v>267</v>
      </c>
      <c r="Z39" s="55"/>
      <c r="AA39" s="55" t="s">
        <v>270</v>
      </c>
      <c r="AB39" s="118"/>
      <c r="AC39" s="55">
        <v>0</v>
      </c>
      <c r="AD39" s="54"/>
      <c r="AE39" s="193"/>
      <c r="AF39" s="56" t="s">
        <v>404</v>
      </c>
      <c r="AG39" s="57" t="s">
        <v>331</v>
      </c>
      <c r="AH39" s="56">
        <v>2012</v>
      </c>
      <c r="AI39" s="56">
        <v>106</v>
      </c>
      <c r="AJ39" s="56">
        <v>106</v>
      </c>
      <c r="AK39" s="154" t="s">
        <v>663</v>
      </c>
      <c r="AL39" s="58"/>
      <c r="AM39" s="56"/>
      <c r="AN39" s="56">
        <v>21</v>
      </c>
      <c r="AO39" s="56">
        <v>27.56</v>
      </c>
      <c r="AP39" s="56"/>
      <c r="AQ39" s="56"/>
      <c r="AR39" s="56">
        <v>80</v>
      </c>
      <c r="AS39" s="56">
        <f t="shared" si="1"/>
        <v>4895.1679999999997</v>
      </c>
      <c r="AT39" s="56"/>
      <c r="AU39" s="56"/>
      <c r="AV39" s="58"/>
      <c r="AW39" s="58"/>
      <c r="AX39" s="58"/>
      <c r="AY39" s="59">
        <v>1.71</v>
      </c>
      <c r="AZ39" s="56">
        <v>1710</v>
      </c>
      <c r="BA39" s="58"/>
      <c r="BB39" s="56"/>
      <c r="BC39" s="56"/>
      <c r="BD39" s="56"/>
      <c r="BE39" s="56"/>
      <c r="BF39" s="58"/>
      <c r="BG39" s="58"/>
      <c r="BH39" s="56"/>
      <c r="BI39" s="56"/>
      <c r="BJ39" s="56" t="s">
        <v>270</v>
      </c>
      <c r="BK39" s="56"/>
      <c r="BL39" s="56"/>
      <c r="BM39" s="56"/>
      <c r="BN39" s="56"/>
      <c r="BO39" s="58"/>
      <c r="BP39" s="58"/>
      <c r="BQ39" s="89">
        <v>0</v>
      </c>
      <c r="BR39" s="90"/>
      <c r="BS39" s="90"/>
      <c r="BT39" s="89"/>
      <c r="BU39" s="89"/>
      <c r="BV39" s="89"/>
      <c r="BW39" s="131"/>
      <c r="BX39" s="131"/>
      <c r="BY39" s="89"/>
      <c r="BZ39" s="89"/>
      <c r="CA39" s="131"/>
      <c r="CB39" s="131"/>
      <c r="CC39" s="131"/>
      <c r="CD39" s="121"/>
      <c r="CE39" s="89"/>
      <c r="CF39" s="131"/>
      <c r="CG39" s="89"/>
      <c r="CH39" s="131"/>
      <c r="CI39" s="131"/>
      <c r="CJ39" s="89"/>
      <c r="CK39" s="89"/>
      <c r="CL39" s="131"/>
      <c r="CM39" s="131"/>
      <c r="CN39" s="131"/>
      <c r="CO39" s="131"/>
      <c r="CP39" s="131"/>
      <c r="CQ39" s="131"/>
      <c r="CR39" s="131"/>
      <c r="CS39" s="89"/>
      <c r="CT39" s="131"/>
      <c r="CU39" s="89"/>
      <c r="CV39" s="89"/>
      <c r="CW39" s="91"/>
      <c r="CX39" s="103"/>
      <c r="CY39" s="111" t="s">
        <v>270</v>
      </c>
      <c r="CZ39" s="134"/>
      <c r="DA39" s="288"/>
      <c r="DB39" s="288"/>
      <c r="DC39" s="288"/>
      <c r="DD39" s="288"/>
      <c r="DE39" s="288"/>
      <c r="DF39" s="288"/>
      <c r="DG39" s="288"/>
      <c r="DH39" s="288"/>
      <c r="DI39" s="288"/>
      <c r="DJ39" s="288"/>
      <c r="DK39" s="288"/>
      <c r="DL39" s="288"/>
      <c r="DM39" s="288"/>
      <c r="DN39" s="288"/>
      <c r="DO39" s="288"/>
      <c r="DP39" s="288"/>
      <c r="DQ39" s="288"/>
      <c r="DR39" s="288"/>
      <c r="DS39" s="288"/>
      <c r="DT39" s="288"/>
      <c r="DU39" s="288"/>
      <c r="DV39" s="288"/>
      <c r="DW39" s="288"/>
      <c r="DX39" s="288"/>
      <c r="DY39" s="288"/>
      <c r="DZ39" s="288"/>
      <c r="EA39" s="288"/>
      <c r="EB39" s="288"/>
      <c r="EC39" s="288"/>
      <c r="ED39" s="288"/>
      <c r="EE39" s="288"/>
      <c r="EF39" s="288"/>
      <c r="EG39" s="288"/>
      <c r="EH39" s="288"/>
      <c r="EI39" s="288"/>
      <c r="EJ39" s="288"/>
      <c r="EK39" s="288"/>
      <c r="EL39" s="288"/>
      <c r="EM39" s="288"/>
      <c r="EN39" s="288"/>
      <c r="EO39" s="288"/>
      <c r="EP39" s="288"/>
      <c r="EQ39" s="288"/>
      <c r="ER39" s="288"/>
      <c r="ES39" s="288"/>
      <c r="ET39" s="288"/>
      <c r="EU39" s="288"/>
      <c r="EV39" s="288"/>
      <c r="EW39" s="288"/>
      <c r="EX39" s="288"/>
      <c r="EY39" s="288"/>
      <c r="EZ39" s="288"/>
      <c r="FA39" s="288"/>
      <c r="FB39" s="288"/>
      <c r="FC39" s="288"/>
      <c r="FD39" s="288"/>
      <c r="FE39" s="288"/>
      <c r="FF39" s="288"/>
    </row>
    <row r="40" spans="1:162" s="32" customFormat="1" x14ac:dyDescent="0.15">
      <c r="B40" s="33"/>
      <c r="E40" s="35"/>
      <c r="H40" s="33"/>
      <c r="N40" s="114"/>
      <c r="O40" s="34"/>
      <c r="P40" s="33"/>
      <c r="Q40" s="33"/>
      <c r="AA40" s="33"/>
      <c r="AB40" s="33"/>
      <c r="AC40" s="33"/>
      <c r="AD40" s="139"/>
      <c r="AE40" s="33"/>
      <c r="AL40" s="35"/>
      <c r="AM40" s="149"/>
      <c r="AN40" s="149"/>
      <c r="AO40" s="149"/>
      <c r="AP40" s="149"/>
      <c r="AQ40" s="149"/>
      <c r="AR40" s="149"/>
      <c r="AS40" s="149"/>
      <c r="AV40" s="35"/>
      <c r="AW40" s="35"/>
      <c r="AX40" s="35"/>
      <c r="AY40" s="149"/>
      <c r="AZ40" s="149"/>
      <c r="BA40" s="149"/>
      <c r="BB40" s="149"/>
      <c r="BC40" s="149"/>
      <c r="BD40" s="149"/>
      <c r="BE40" s="149"/>
      <c r="BF40" s="35"/>
      <c r="BG40" s="35"/>
      <c r="BK40" s="149"/>
      <c r="BL40" s="149"/>
      <c r="BM40" s="149"/>
      <c r="BO40" s="35"/>
      <c r="BP40" s="35"/>
      <c r="BW40" s="36"/>
      <c r="BX40" s="36"/>
      <c r="BY40" s="36"/>
      <c r="BZ40" s="36"/>
      <c r="CY40" s="33"/>
    </row>
    <row r="41" spans="1:162" s="32" customFormat="1" x14ac:dyDescent="0.15">
      <c r="B41" s="33"/>
      <c r="E41" s="35"/>
      <c r="H41" s="33"/>
      <c r="N41" s="114"/>
      <c r="O41" s="34"/>
      <c r="P41" s="33"/>
      <c r="Q41" s="33"/>
      <c r="AA41" s="33"/>
      <c r="AB41" s="33"/>
      <c r="AC41" s="33"/>
      <c r="AD41" s="139"/>
      <c r="AE41" s="33"/>
      <c r="AL41" s="35"/>
      <c r="AM41" s="150"/>
      <c r="AN41" s="150"/>
      <c r="AO41" s="150"/>
      <c r="AP41" s="150"/>
      <c r="AQ41" s="150"/>
      <c r="AR41" s="150"/>
      <c r="AS41" s="150"/>
      <c r="AV41" s="35"/>
      <c r="AW41" s="35"/>
      <c r="AX41" s="35"/>
      <c r="AY41" s="150"/>
      <c r="AZ41" s="150"/>
      <c r="BA41" s="150"/>
      <c r="BB41" s="150"/>
      <c r="BC41" s="150"/>
      <c r="BD41" s="150"/>
      <c r="BE41" s="150"/>
      <c r="BF41" s="35"/>
      <c r="BG41" s="35"/>
      <c r="BK41" s="150"/>
      <c r="BL41" s="150"/>
      <c r="BM41" s="150"/>
      <c r="BO41" s="35"/>
      <c r="BP41" s="35"/>
      <c r="BW41" s="36"/>
      <c r="BX41" s="36"/>
      <c r="BY41" s="36"/>
      <c r="BZ41" s="36"/>
      <c r="CY41" s="33"/>
    </row>
    <row r="42" spans="1:162" s="32" customFormat="1" x14ac:dyDescent="0.15">
      <c r="B42" s="33"/>
      <c r="E42" s="35"/>
      <c r="H42" s="33"/>
      <c r="N42" s="114"/>
      <c r="O42" s="34"/>
      <c r="P42" s="33"/>
      <c r="Q42" s="33"/>
      <c r="AA42" s="33"/>
      <c r="AB42" s="33"/>
      <c r="AC42" s="33"/>
      <c r="AD42" s="139"/>
      <c r="AE42" s="33"/>
      <c r="AL42" s="35"/>
      <c r="AM42" s="149"/>
      <c r="AN42" s="149"/>
      <c r="AO42" s="149"/>
      <c r="AP42" s="149"/>
      <c r="AQ42" s="149"/>
      <c r="AR42" s="149"/>
      <c r="AS42" s="149"/>
      <c r="AV42" s="35"/>
      <c r="AW42" s="35"/>
      <c r="AX42" s="35"/>
      <c r="AY42" s="149"/>
      <c r="AZ42" s="149"/>
      <c r="BA42" s="149"/>
      <c r="BB42" s="149"/>
      <c r="BC42" s="149"/>
      <c r="BD42" s="149"/>
      <c r="BE42" s="149"/>
      <c r="BF42" s="35"/>
      <c r="BG42" s="35"/>
      <c r="BK42" s="149"/>
      <c r="BL42" s="149"/>
      <c r="BM42" s="149"/>
      <c r="BO42" s="35"/>
      <c r="BP42" s="35"/>
      <c r="BW42" s="36"/>
      <c r="BX42" s="36"/>
      <c r="BY42" s="36"/>
      <c r="BZ42" s="36"/>
      <c r="CY42" s="33"/>
    </row>
    <row r="43" spans="1:162" s="32" customFormat="1" x14ac:dyDescent="0.15">
      <c r="B43" s="33"/>
      <c r="E43" s="35"/>
      <c r="H43" s="33"/>
      <c r="N43" s="114"/>
      <c r="O43" s="34"/>
      <c r="P43" s="33"/>
      <c r="Q43" s="33"/>
      <c r="AA43" s="33"/>
      <c r="AB43" s="33"/>
      <c r="AC43" s="33"/>
      <c r="AD43" s="139"/>
      <c r="AE43" s="33"/>
      <c r="AL43" s="35"/>
      <c r="AM43" s="149"/>
      <c r="AN43" s="149"/>
      <c r="AO43" s="149"/>
      <c r="AP43" s="149"/>
      <c r="AQ43" s="149"/>
      <c r="AR43" s="149"/>
      <c r="AS43" s="149"/>
      <c r="AV43" s="35"/>
      <c r="AW43" s="35"/>
      <c r="AX43" s="35"/>
      <c r="AY43" s="149"/>
      <c r="AZ43" s="149"/>
      <c r="BA43" s="149"/>
      <c r="BB43" s="149"/>
      <c r="BC43" s="149"/>
      <c r="BD43" s="149"/>
      <c r="BE43" s="149"/>
      <c r="BF43" s="35"/>
      <c r="BG43" s="35"/>
      <c r="BK43" s="149"/>
      <c r="BL43" s="149"/>
      <c r="BM43" s="149"/>
      <c r="BO43" s="35"/>
      <c r="BP43" s="35"/>
      <c r="BT43" s="37"/>
      <c r="BW43" s="36"/>
      <c r="BX43" s="36"/>
      <c r="BY43" s="36"/>
      <c r="BZ43" s="36"/>
      <c r="CY43" s="33"/>
    </row>
    <row r="44" spans="1:162" s="32" customFormat="1" x14ac:dyDescent="0.15">
      <c r="B44" s="33"/>
      <c r="E44" s="35"/>
      <c r="H44" s="33"/>
      <c r="N44" s="114"/>
      <c r="O44" s="34"/>
      <c r="P44" s="33"/>
      <c r="Q44" s="33"/>
      <c r="AA44" s="33"/>
      <c r="AB44" s="33"/>
      <c r="AC44" s="33"/>
      <c r="AD44" s="139"/>
      <c r="AE44" s="33"/>
      <c r="AL44" s="35"/>
      <c r="AV44" s="35"/>
      <c r="AW44" s="35"/>
      <c r="AX44" s="35"/>
      <c r="AY44" s="36"/>
      <c r="BF44" s="35"/>
      <c r="BG44" s="35"/>
      <c r="BO44" s="35"/>
      <c r="BP44" s="35"/>
      <c r="BW44" s="36"/>
      <c r="BX44" s="36"/>
      <c r="BY44" s="36"/>
      <c r="BZ44" s="36"/>
      <c r="CY44" s="33"/>
    </row>
    <row r="45" spans="1:162" s="32" customFormat="1" x14ac:dyDescent="0.15">
      <c r="B45" s="33"/>
      <c r="E45" s="35"/>
      <c r="H45" s="33"/>
      <c r="N45" s="114"/>
      <c r="O45" s="34"/>
      <c r="P45" s="33"/>
      <c r="Q45" s="33"/>
      <c r="AA45" s="33"/>
      <c r="AB45" s="33"/>
      <c r="AC45" s="33"/>
      <c r="AD45" s="139"/>
      <c r="AE45" s="33"/>
      <c r="AL45" s="35"/>
      <c r="AV45" s="35"/>
      <c r="AW45" s="35"/>
      <c r="AX45" s="35"/>
      <c r="AY45" s="36"/>
      <c r="BF45" s="35"/>
      <c r="BG45" s="35"/>
      <c r="BO45" s="35"/>
      <c r="BP45" s="35"/>
      <c r="BW45" s="36"/>
      <c r="BX45" s="36"/>
      <c r="BY45" s="36"/>
      <c r="BZ45" s="36"/>
      <c r="CY45" s="33"/>
    </row>
    <row r="46" spans="1:162" s="32" customFormat="1" x14ac:dyDescent="0.15">
      <c r="B46" s="33"/>
      <c r="E46" s="35"/>
      <c r="H46" s="33"/>
      <c r="N46" s="114"/>
      <c r="O46" s="34"/>
      <c r="P46" s="33"/>
      <c r="Q46" s="33"/>
      <c r="AA46" s="33"/>
      <c r="AB46" s="33"/>
      <c r="AC46" s="33"/>
      <c r="AD46" s="139"/>
      <c r="AE46" s="33"/>
      <c r="AL46" s="35"/>
      <c r="AV46" s="35"/>
      <c r="AW46" s="35"/>
      <c r="AX46" s="35"/>
      <c r="AY46" s="36"/>
      <c r="BF46" s="35"/>
      <c r="BG46" s="35"/>
      <c r="BO46" s="35"/>
      <c r="BP46" s="35"/>
      <c r="BW46" s="36"/>
      <c r="BX46" s="36"/>
      <c r="BY46" s="36"/>
      <c r="BZ46" s="36"/>
      <c r="CY46" s="33"/>
    </row>
    <row r="47" spans="1:162" s="32" customFormat="1" x14ac:dyDescent="0.15">
      <c r="B47" s="33"/>
      <c r="E47" s="35"/>
      <c r="H47" s="33"/>
      <c r="N47" s="114"/>
      <c r="O47" s="34"/>
      <c r="P47" s="33"/>
      <c r="Q47" s="33"/>
      <c r="AA47" s="33"/>
      <c r="AB47" s="33"/>
      <c r="AC47" s="33"/>
      <c r="AD47" s="139"/>
      <c r="AE47" s="33"/>
      <c r="AL47" s="35"/>
      <c r="AV47" s="35"/>
      <c r="AW47" s="35"/>
      <c r="AX47" s="35"/>
      <c r="AY47" s="36"/>
      <c r="BF47" s="35"/>
      <c r="BG47" s="35"/>
      <c r="BO47" s="35"/>
      <c r="BP47" s="35"/>
      <c r="BW47" s="36"/>
      <c r="BX47" s="36"/>
      <c r="BY47" s="36"/>
      <c r="BZ47" s="36"/>
      <c r="CY47" s="33"/>
    </row>
    <row r="48" spans="1:162" s="32" customFormat="1" x14ac:dyDescent="0.15">
      <c r="B48" s="33"/>
      <c r="E48" s="35"/>
      <c r="H48" s="33"/>
      <c r="N48" s="114"/>
      <c r="O48" s="34"/>
      <c r="P48" s="33"/>
      <c r="Q48" s="33"/>
      <c r="AA48" s="33"/>
      <c r="AB48" s="33"/>
      <c r="AC48" s="33"/>
      <c r="AD48" s="139"/>
      <c r="AE48" s="33"/>
      <c r="AL48" s="35"/>
      <c r="AV48" s="35"/>
      <c r="AW48" s="35"/>
      <c r="AX48" s="35"/>
      <c r="AY48" s="36"/>
      <c r="BF48" s="35"/>
      <c r="BG48" s="35"/>
      <c r="BO48" s="35"/>
      <c r="BP48" s="35"/>
      <c r="BW48" s="36"/>
      <c r="BX48" s="36"/>
      <c r="BY48" s="36"/>
      <c r="BZ48" s="36"/>
      <c r="CY48" s="33"/>
    </row>
    <row r="49" spans="2:103" s="32" customFormat="1" x14ac:dyDescent="0.15">
      <c r="B49" s="33"/>
      <c r="E49" s="35"/>
      <c r="H49" s="33"/>
      <c r="N49" s="114"/>
      <c r="O49" s="34"/>
      <c r="P49" s="33"/>
      <c r="Q49" s="33"/>
      <c r="AA49" s="33"/>
      <c r="AB49" s="33"/>
      <c r="AC49" s="33"/>
      <c r="AD49" s="139"/>
      <c r="AE49" s="33"/>
      <c r="AL49" s="35"/>
      <c r="AV49" s="35"/>
      <c r="AW49" s="35"/>
      <c r="AX49" s="35"/>
      <c r="AY49" s="36"/>
      <c r="BF49" s="35"/>
      <c r="BG49" s="35"/>
      <c r="BO49" s="35"/>
      <c r="BP49" s="35"/>
      <c r="BW49" s="36"/>
      <c r="BX49" s="36"/>
      <c r="BY49" s="36"/>
      <c r="BZ49" s="36"/>
      <c r="CY49" s="33"/>
    </row>
    <row r="50" spans="2:103" s="32" customFormat="1" x14ac:dyDescent="0.15">
      <c r="B50" s="33"/>
      <c r="E50" s="35"/>
      <c r="H50" s="33"/>
      <c r="N50" s="114"/>
      <c r="O50" s="116"/>
      <c r="P50" s="33"/>
      <c r="Q50" s="33"/>
      <c r="AA50" s="33"/>
      <c r="AB50" s="33"/>
      <c r="AC50" s="33"/>
      <c r="AD50" s="140"/>
      <c r="AE50" s="33"/>
      <c r="AL50" s="35"/>
      <c r="AV50" s="35"/>
      <c r="AW50" s="35"/>
      <c r="AX50" s="35"/>
      <c r="AY50" s="36"/>
      <c r="BF50" s="35"/>
      <c r="BG50" s="35"/>
      <c r="BO50" s="35"/>
      <c r="BP50" s="35"/>
      <c r="BW50" s="36"/>
      <c r="BX50" s="36"/>
      <c r="BY50" s="36"/>
      <c r="BZ50" s="36"/>
      <c r="CY50" s="33"/>
    </row>
    <row r="51" spans="2:103" s="32" customFormat="1" x14ac:dyDescent="0.15">
      <c r="B51" s="33"/>
      <c r="E51" s="35"/>
      <c r="H51" s="33"/>
      <c r="N51" s="114"/>
      <c r="O51" s="116"/>
      <c r="P51" s="33"/>
      <c r="Q51" s="33"/>
      <c r="AA51" s="33"/>
      <c r="AB51" s="33"/>
      <c r="AC51" s="33"/>
      <c r="AD51" s="140"/>
      <c r="AE51" s="33"/>
      <c r="AL51" s="35"/>
      <c r="AV51" s="35"/>
      <c r="AW51" s="35"/>
      <c r="AX51" s="35"/>
      <c r="AY51" s="36"/>
      <c r="BF51" s="35"/>
      <c r="BG51" s="35"/>
      <c r="BO51" s="35"/>
      <c r="BP51" s="35"/>
      <c r="BW51" s="36"/>
      <c r="BX51" s="36"/>
      <c r="BY51" s="36"/>
      <c r="BZ51" s="36"/>
      <c r="CY51" s="33"/>
    </row>
    <row r="52" spans="2:103" s="32" customFormat="1" x14ac:dyDescent="0.15">
      <c r="B52" s="33"/>
      <c r="E52" s="35"/>
      <c r="H52" s="33"/>
      <c r="N52" s="114"/>
      <c r="O52" s="34"/>
      <c r="P52" s="33"/>
      <c r="Q52" s="33"/>
      <c r="AA52" s="33"/>
      <c r="AB52" s="33"/>
      <c r="AC52" s="33"/>
      <c r="AD52" s="139"/>
      <c r="AE52" s="33"/>
      <c r="AL52" s="35"/>
      <c r="AV52" s="35"/>
      <c r="AW52" s="35"/>
      <c r="AX52" s="35"/>
      <c r="AY52" s="36"/>
      <c r="BF52" s="35"/>
      <c r="BG52" s="35"/>
      <c r="BO52" s="35"/>
      <c r="BP52" s="35"/>
      <c r="BW52" s="36"/>
      <c r="BX52" s="36"/>
      <c r="BY52" s="36"/>
      <c r="BZ52" s="36"/>
      <c r="CY52" s="33"/>
    </row>
    <row r="53" spans="2:103" s="32" customFormat="1" x14ac:dyDescent="0.15">
      <c r="B53" s="33"/>
      <c r="E53" s="35"/>
      <c r="H53" s="33"/>
      <c r="N53" s="114"/>
      <c r="O53" s="34"/>
      <c r="P53" s="33"/>
      <c r="Q53" s="33"/>
      <c r="AA53" s="33"/>
      <c r="AB53" s="33"/>
      <c r="AC53" s="33"/>
      <c r="AD53" s="139"/>
      <c r="AE53" s="33"/>
      <c r="AL53" s="35"/>
      <c r="AV53" s="35"/>
      <c r="AW53" s="35"/>
      <c r="AX53" s="35"/>
      <c r="AY53" s="36"/>
      <c r="BF53" s="35"/>
      <c r="BG53" s="35"/>
      <c r="BO53" s="35"/>
      <c r="BP53" s="35"/>
      <c r="BW53" s="36"/>
      <c r="BX53" s="36"/>
      <c r="BY53" s="36"/>
      <c r="BZ53" s="36"/>
      <c r="CY53" s="33"/>
    </row>
    <row r="54" spans="2:103" s="32" customFormat="1" x14ac:dyDescent="0.15">
      <c r="B54" s="33"/>
      <c r="E54" s="35"/>
      <c r="H54" s="33"/>
      <c r="N54" s="114"/>
      <c r="O54" s="34"/>
      <c r="P54" s="33"/>
      <c r="Q54" s="33"/>
      <c r="AA54" s="33"/>
      <c r="AB54" s="33"/>
      <c r="AC54" s="33"/>
      <c r="AD54" s="139"/>
      <c r="AE54" s="33"/>
      <c r="AL54" s="35"/>
      <c r="AV54" s="35"/>
      <c r="AW54" s="35"/>
      <c r="AX54" s="35"/>
      <c r="AY54" s="36"/>
      <c r="BF54" s="35"/>
      <c r="BG54" s="35"/>
      <c r="BO54" s="35"/>
      <c r="BP54" s="35"/>
      <c r="BW54" s="36"/>
      <c r="BX54" s="36"/>
      <c r="BY54" s="36"/>
      <c r="BZ54" s="36"/>
      <c r="CY54" s="33"/>
    </row>
    <row r="55" spans="2:103" s="32" customFormat="1" x14ac:dyDescent="0.15">
      <c r="B55" s="33"/>
      <c r="E55" s="35"/>
      <c r="H55" s="33"/>
      <c r="N55" s="114"/>
      <c r="O55" s="34"/>
      <c r="P55" s="33"/>
      <c r="Q55" s="33"/>
      <c r="AA55" s="33"/>
      <c r="AB55" s="33"/>
      <c r="AC55" s="33"/>
      <c r="AD55" s="139"/>
      <c r="AE55" s="33"/>
      <c r="AL55" s="35"/>
      <c r="AV55" s="35"/>
      <c r="AW55" s="35"/>
      <c r="AX55" s="35"/>
      <c r="AY55" s="36"/>
      <c r="BF55" s="35"/>
      <c r="BG55" s="35"/>
      <c r="BO55" s="35"/>
      <c r="BP55" s="35"/>
      <c r="BW55" s="36"/>
      <c r="BX55" s="36"/>
      <c r="BY55" s="36"/>
      <c r="BZ55" s="36"/>
      <c r="CY55" s="33"/>
    </row>
    <row r="56" spans="2:103" s="32" customFormat="1" x14ac:dyDescent="0.15">
      <c r="B56" s="33"/>
      <c r="E56" s="35"/>
      <c r="H56" s="33"/>
      <c r="N56" s="114"/>
      <c r="O56" s="34"/>
      <c r="P56" s="33"/>
      <c r="Q56" s="33"/>
      <c r="AA56" s="33"/>
      <c r="AB56" s="33"/>
      <c r="AC56" s="33"/>
      <c r="AD56" s="139"/>
      <c r="AE56" s="33"/>
      <c r="AL56" s="35"/>
      <c r="AV56" s="35"/>
      <c r="AW56" s="35"/>
      <c r="AX56" s="35"/>
      <c r="AY56" s="36"/>
      <c r="BF56" s="35"/>
      <c r="BG56" s="35"/>
      <c r="BO56" s="35"/>
      <c r="BP56" s="35"/>
      <c r="BW56" s="36"/>
      <c r="BX56" s="36"/>
      <c r="BY56" s="36"/>
      <c r="BZ56" s="36"/>
      <c r="CY56" s="33"/>
    </row>
    <row r="57" spans="2:103" s="32" customFormat="1" x14ac:dyDescent="0.15">
      <c r="B57" s="33"/>
      <c r="E57" s="35"/>
      <c r="H57" s="33"/>
      <c r="N57" s="114"/>
      <c r="O57" s="34"/>
      <c r="P57" s="33"/>
      <c r="Q57" s="33"/>
      <c r="AA57" s="33"/>
      <c r="AB57" s="33"/>
      <c r="AC57" s="33"/>
      <c r="AD57" s="139"/>
      <c r="AE57" s="33"/>
      <c r="AL57" s="35"/>
      <c r="AV57" s="35"/>
      <c r="AW57" s="35"/>
      <c r="AX57" s="35"/>
      <c r="AY57" s="36"/>
      <c r="BF57" s="35"/>
      <c r="BG57" s="35"/>
      <c r="BO57" s="35"/>
      <c r="BP57" s="35"/>
      <c r="BW57" s="36"/>
      <c r="BX57" s="36"/>
      <c r="BY57" s="36"/>
      <c r="BZ57" s="36"/>
      <c r="CY57" s="33"/>
    </row>
    <row r="58" spans="2:103" s="32" customFormat="1" x14ac:dyDescent="0.15">
      <c r="B58" s="33"/>
      <c r="E58" s="35"/>
      <c r="H58" s="33"/>
      <c r="N58" s="114"/>
      <c r="O58" s="34"/>
      <c r="P58" s="33"/>
      <c r="Q58" s="33"/>
      <c r="AA58" s="33"/>
      <c r="AB58" s="33"/>
      <c r="AC58" s="33"/>
      <c r="AD58" s="139"/>
      <c r="AE58" s="33"/>
      <c r="AL58" s="35"/>
      <c r="AV58" s="35"/>
      <c r="AW58" s="35"/>
      <c r="AX58" s="35"/>
      <c r="AY58" s="36"/>
      <c r="BF58" s="35"/>
      <c r="BG58" s="35"/>
      <c r="BO58" s="35"/>
      <c r="BP58" s="35"/>
      <c r="BW58" s="36"/>
      <c r="BX58" s="36"/>
      <c r="BY58" s="36"/>
      <c r="BZ58" s="36"/>
      <c r="CY58" s="33"/>
    </row>
    <row r="59" spans="2:103" s="32" customFormat="1" x14ac:dyDescent="0.15">
      <c r="B59" s="33"/>
      <c r="E59" s="35"/>
      <c r="H59" s="33"/>
      <c r="N59" s="114"/>
      <c r="O59" s="34"/>
      <c r="P59" s="33"/>
      <c r="Q59" s="33"/>
      <c r="AA59" s="33"/>
      <c r="AB59" s="33"/>
      <c r="AC59" s="33"/>
      <c r="AD59" s="139"/>
      <c r="AE59" s="33"/>
      <c r="AL59" s="35"/>
      <c r="AV59" s="35"/>
      <c r="AW59" s="35"/>
      <c r="AX59" s="35"/>
      <c r="AY59" s="36"/>
      <c r="BF59" s="35"/>
      <c r="BG59" s="35"/>
      <c r="BO59" s="35"/>
      <c r="BP59" s="35"/>
      <c r="BW59" s="36"/>
      <c r="BX59" s="36"/>
      <c r="BY59" s="36"/>
      <c r="BZ59" s="36"/>
      <c r="CY59" s="33"/>
    </row>
    <row r="60" spans="2:103" s="32" customFormat="1" x14ac:dyDescent="0.15">
      <c r="B60" s="33"/>
      <c r="E60" s="35"/>
      <c r="H60" s="33"/>
      <c r="N60" s="114"/>
      <c r="O60" s="34"/>
      <c r="P60" s="33"/>
      <c r="Q60" s="33"/>
      <c r="AA60" s="33"/>
      <c r="AB60" s="33"/>
      <c r="AC60" s="33"/>
      <c r="AD60" s="139"/>
      <c r="AE60" s="33"/>
      <c r="AL60" s="35"/>
      <c r="AV60" s="35"/>
      <c r="AW60" s="35"/>
      <c r="AX60" s="35"/>
      <c r="AY60" s="36"/>
      <c r="BF60" s="35"/>
      <c r="BG60" s="35"/>
      <c r="BO60" s="35"/>
      <c r="BP60" s="35"/>
      <c r="BW60" s="36"/>
      <c r="BX60" s="36"/>
      <c r="BY60" s="36"/>
      <c r="BZ60" s="36"/>
      <c r="CY60" s="33"/>
    </row>
    <row r="61" spans="2:103" s="32" customFormat="1" x14ac:dyDescent="0.15">
      <c r="B61" s="33"/>
      <c r="E61" s="35"/>
      <c r="H61" s="33"/>
      <c r="N61" s="114"/>
      <c r="O61" s="34"/>
      <c r="P61" s="33"/>
      <c r="Q61" s="33"/>
      <c r="AA61" s="33"/>
      <c r="AB61" s="33"/>
      <c r="AC61" s="33"/>
      <c r="AD61" s="139"/>
      <c r="AE61" s="33"/>
      <c r="AL61" s="35"/>
      <c r="AV61" s="35"/>
      <c r="AW61" s="35"/>
      <c r="AX61" s="35"/>
      <c r="AY61" s="36"/>
      <c r="BF61" s="35"/>
      <c r="BG61" s="35"/>
      <c r="BO61" s="35"/>
      <c r="BP61" s="35"/>
      <c r="BW61" s="36"/>
      <c r="BX61" s="36"/>
      <c r="BY61" s="36"/>
      <c r="BZ61" s="36"/>
      <c r="CY61" s="33"/>
    </row>
    <row r="62" spans="2:103" s="32" customFormat="1" x14ac:dyDescent="0.15">
      <c r="B62" s="33"/>
      <c r="E62" s="35"/>
      <c r="H62" s="33"/>
      <c r="N62" s="114"/>
      <c r="O62" s="34"/>
      <c r="P62" s="33"/>
      <c r="Q62" s="33"/>
      <c r="AA62" s="33"/>
      <c r="AB62" s="33"/>
      <c r="AC62" s="33"/>
      <c r="AD62" s="139"/>
      <c r="AE62" s="33"/>
      <c r="AL62" s="35"/>
      <c r="AV62" s="35"/>
      <c r="AW62" s="35"/>
      <c r="AX62" s="35"/>
      <c r="AY62" s="36"/>
      <c r="BF62" s="35"/>
      <c r="BG62" s="35"/>
      <c r="BO62" s="35"/>
      <c r="BP62" s="35"/>
      <c r="BW62" s="36"/>
      <c r="BX62" s="36"/>
      <c r="BY62" s="36"/>
      <c r="BZ62" s="36"/>
      <c r="CY62" s="33"/>
    </row>
    <row r="63" spans="2:103" s="32" customFormat="1" x14ac:dyDescent="0.15">
      <c r="B63" s="33"/>
      <c r="E63" s="35"/>
      <c r="H63" s="33"/>
      <c r="N63" s="114"/>
      <c r="O63" s="34"/>
      <c r="P63" s="33"/>
      <c r="Q63" s="33"/>
      <c r="AA63" s="33"/>
      <c r="AB63" s="33"/>
      <c r="AC63" s="33"/>
      <c r="AD63" s="139"/>
      <c r="AE63" s="33"/>
      <c r="AL63" s="35"/>
      <c r="AV63" s="35"/>
      <c r="AW63" s="35"/>
      <c r="AX63" s="35"/>
      <c r="AY63" s="36"/>
      <c r="BF63" s="35"/>
      <c r="BG63" s="35"/>
      <c r="BO63" s="35"/>
      <c r="BP63" s="35"/>
      <c r="BW63" s="36"/>
      <c r="BX63" s="36"/>
      <c r="BY63" s="36"/>
      <c r="BZ63" s="36"/>
      <c r="CY63" s="33"/>
    </row>
    <row r="64" spans="2:103" s="32" customFormat="1" x14ac:dyDescent="0.15">
      <c r="B64" s="33"/>
      <c r="E64" s="35"/>
      <c r="H64" s="33"/>
      <c r="N64" s="114"/>
      <c r="O64" s="34"/>
      <c r="P64" s="33"/>
      <c r="Q64" s="33"/>
      <c r="AA64" s="33"/>
      <c r="AB64" s="33"/>
      <c r="AC64" s="33"/>
      <c r="AD64" s="139"/>
      <c r="AE64" s="33"/>
      <c r="AL64" s="35"/>
      <c r="AV64" s="35"/>
      <c r="AW64" s="35"/>
      <c r="AX64" s="35"/>
      <c r="AY64" s="36"/>
      <c r="BF64" s="35"/>
      <c r="BG64" s="35"/>
      <c r="BO64" s="35"/>
      <c r="BP64" s="35"/>
      <c r="BW64" s="36"/>
      <c r="BX64" s="36"/>
      <c r="BY64" s="36"/>
      <c r="BZ64" s="36"/>
      <c r="CY64" s="33"/>
    </row>
    <row r="65" spans="2:103" s="32" customFormat="1" x14ac:dyDescent="0.15">
      <c r="B65" s="33"/>
      <c r="E65" s="35"/>
      <c r="H65" s="33"/>
      <c r="N65" s="114"/>
      <c r="O65" s="34"/>
      <c r="P65" s="33"/>
      <c r="Q65" s="33"/>
      <c r="AA65" s="33"/>
      <c r="AB65" s="33"/>
      <c r="AC65" s="33"/>
      <c r="AD65" s="139"/>
      <c r="AE65" s="33"/>
      <c r="AL65" s="35"/>
      <c r="AV65" s="35"/>
      <c r="AW65" s="35"/>
      <c r="AX65" s="35"/>
      <c r="AY65" s="36"/>
      <c r="BF65" s="35"/>
      <c r="BG65" s="35"/>
      <c r="BO65" s="35"/>
      <c r="BP65" s="35"/>
      <c r="BW65" s="36"/>
      <c r="BX65" s="36"/>
      <c r="BY65" s="36"/>
      <c r="BZ65" s="36"/>
      <c r="CY65" s="33"/>
    </row>
    <row r="66" spans="2:103" s="32" customFormat="1" x14ac:dyDescent="0.15">
      <c r="B66" s="33"/>
      <c r="E66" s="35"/>
      <c r="H66" s="33"/>
      <c r="N66" s="114"/>
      <c r="O66" s="34"/>
      <c r="P66" s="33"/>
      <c r="Q66" s="33"/>
      <c r="AA66" s="33"/>
      <c r="AB66" s="33"/>
      <c r="AC66" s="33"/>
      <c r="AD66" s="139"/>
      <c r="AE66" s="33"/>
      <c r="AL66" s="35"/>
      <c r="AV66" s="35"/>
      <c r="AW66" s="35"/>
      <c r="AX66" s="35"/>
      <c r="AY66" s="36"/>
      <c r="BF66" s="35"/>
      <c r="BG66" s="35"/>
      <c r="BO66" s="35"/>
      <c r="BP66" s="35"/>
      <c r="BW66" s="36"/>
      <c r="BX66" s="36"/>
      <c r="BY66" s="36"/>
      <c r="BZ66" s="36"/>
      <c r="CY66" s="33"/>
    </row>
    <row r="67" spans="2:103" s="32" customFormat="1" x14ac:dyDescent="0.15">
      <c r="B67" s="33"/>
      <c r="E67" s="35"/>
      <c r="H67" s="33"/>
      <c r="N67" s="114"/>
      <c r="O67" s="34"/>
      <c r="P67" s="33"/>
      <c r="Q67" s="33"/>
      <c r="AA67" s="33"/>
      <c r="AB67" s="33"/>
      <c r="AC67" s="33"/>
      <c r="AD67" s="139"/>
      <c r="AE67" s="33"/>
      <c r="AL67" s="35"/>
      <c r="AV67" s="35"/>
      <c r="AW67" s="35"/>
      <c r="AX67" s="35"/>
      <c r="AY67" s="36"/>
      <c r="BF67" s="35"/>
      <c r="BG67" s="35"/>
      <c r="BO67" s="35"/>
      <c r="BP67" s="35"/>
      <c r="BW67" s="36"/>
      <c r="BX67" s="36"/>
      <c r="BY67" s="36"/>
      <c r="BZ67" s="36"/>
      <c r="CY67" s="33"/>
    </row>
    <row r="68" spans="2:103" s="32" customFormat="1" x14ac:dyDescent="0.15">
      <c r="B68" s="33"/>
      <c r="E68" s="35"/>
      <c r="H68" s="33"/>
      <c r="N68" s="114"/>
      <c r="O68" s="34"/>
      <c r="P68" s="33"/>
      <c r="Q68" s="33"/>
      <c r="AA68" s="33"/>
      <c r="AB68" s="33"/>
      <c r="AC68" s="33"/>
      <c r="AD68" s="139"/>
      <c r="AE68" s="33"/>
      <c r="AL68" s="35"/>
      <c r="AV68" s="35"/>
      <c r="AW68" s="35"/>
      <c r="AX68" s="35"/>
      <c r="AY68" s="36"/>
      <c r="BF68" s="35"/>
      <c r="BG68" s="35"/>
      <c r="BO68" s="35"/>
      <c r="BP68" s="35"/>
      <c r="BW68" s="36"/>
      <c r="BX68" s="36"/>
      <c r="BY68" s="36"/>
      <c r="BZ68" s="36"/>
      <c r="CY68" s="33"/>
    </row>
    <row r="69" spans="2:103" s="32" customFormat="1" x14ac:dyDescent="0.15">
      <c r="B69" s="33"/>
      <c r="E69" s="35"/>
      <c r="H69" s="33"/>
      <c r="N69" s="114"/>
      <c r="O69" s="34"/>
      <c r="P69" s="33"/>
      <c r="Q69" s="33"/>
      <c r="AA69" s="33"/>
      <c r="AB69" s="33"/>
      <c r="AC69" s="33"/>
      <c r="AD69" s="139"/>
      <c r="AE69" s="33"/>
      <c r="AL69" s="35"/>
      <c r="AV69" s="35"/>
      <c r="AW69" s="35"/>
      <c r="AX69" s="35"/>
      <c r="AY69" s="36"/>
      <c r="BF69" s="35"/>
      <c r="BG69" s="35"/>
      <c r="BO69" s="35"/>
      <c r="BP69" s="35"/>
      <c r="BW69" s="36"/>
      <c r="BX69" s="36"/>
      <c r="BY69" s="36"/>
      <c r="BZ69" s="36"/>
      <c r="CY69" s="33"/>
    </row>
    <row r="70" spans="2:103" s="32" customFormat="1" x14ac:dyDescent="0.15">
      <c r="B70" s="33"/>
      <c r="E70" s="35"/>
      <c r="H70" s="33"/>
      <c r="N70" s="114"/>
      <c r="O70" s="34"/>
      <c r="P70" s="33"/>
      <c r="Q70" s="33"/>
      <c r="AA70" s="33"/>
      <c r="AB70" s="33"/>
      <c r="AC70" s="33"/>
      <c r="AD70" s="139"/>
      <c r="AE70" s="33"/>
      <c r="AL70" s="35"/>
      <c r="AV70" s="35"/>
      <c r="AW70" s="35"/>
      <c r="AX70" s="35"/>
      <c r="AY70" s="36"/>
      <c r="BF70" s="35"/>
      <c r="BG70" s="35"/>
      <c r="BO70" s="35"/>
      <c r="BP70" s="35"/>
      <c r="BW70" s="36"/>
      <c r="BX70" s="36"/>
      <c r="BY70" s="36"/>
      <c r="BZ70" s="36"/>
      <c r="CY70" s="33"/>
    </row>
    <row r="71" spans="2:103" s="32" customFormat="1" x14ac:dyDescent="0.15">
      <c r="B71" s="33"/>
      <c r="E71" s="35"/>
      <c r="H71" s="33"/>
      <c r="N71" s="114"/>
      <c r="O71" s="34"/>
      <c r="P71" s="33"/>
      <c r="Q71" s="33"/>
      <c r="AA71" s="33"/>
      <c r="AB71" s="33"/>
      <c r="AC71" s="33"/>
      <c r="AD71" s="139"/>
      <c r="AE71" s="33"/>
      <c r="AL71" s="35"/>
      <c r="AV71" s="35"/>
      <c r="AW71" s="35"/>
      <c r="AX71" s="35"/>
      <c r="AY71" s="36"/>
      <c r="BF71" s="35"/>
      <c r="BG71" s="35"/>
      <c r="BO71" s="35"/>
      <c r="BP71" s="35"/>
      <c r="BW71" s="36"/>
      <c r="BX71" s="36"/>
      <c r="BY71" s="36"/>
      <c r="BZ71" s="36"/>
      <c r="CY71" s="33"/>
    </row>
    <row r="72" spans="2:103" s="32" customFormat="1" x14ac:dyDescent="0.15">
      <c r="B72" s="33"/>
      <c r="E72" s="35"/>
      <c r="H72" s="33"/>
      <c r="N72" s="114"/>
      <c r="O72" s="34"/>
      <c r="P72" s="33"/>
      <c r="Q72" s="33"/>
      <c r="AA72" s="33"/>
      <c r="AB72" s="33"/>
      <c r="AC72" s="33"/>
      <c r="AD72" s="139"/>
      <c r="AE72" s="33"/>
      <c r="AL72" s="35"/>
      <c r="AV72" s="35"/>
      <c r="AW72" s="35"/>
      <c r="AX72" s="35"/>
      <c r="AY72" s="36"/>
      <c r="BF72" s="35"/>
      <c r="BG72" s="35"/>
      <c r="BO72" s="35"/>
      <c r="BP72" s="35"/>
      <c r="BW72" s="36"/>
      <c r="BX72" s="36"/>
      <c r="BY72" s="36"/>
      <c r="BZ72" s="36"/>
      <c r="CY72" s="33"/>
    </row>
    <row r="73" spans="2:103" s="32" customFormat="1" x14ac:dyDescent="0.15">
      <c r="B73" s="33"/>
      <c r="E73" s="35"/>
      <c r="H73" s="33"/>
      <c r="N73" s="114"/>
      <c r="O73" s="34"/>
      <c r="P73" s="33"/>
      <c r="Q73" s="33"/>
      <c r="AA73" s="33"/>
      <c r="AB73" s="33"/>
      <c r="AC73" s="33"/>
      <c r="AD73" s="139"/>
      <c r="AE73" s="33"/>
      <c r="AL73" s="35"/>
      <c r="AV73" s="35"/>
      <c r="AW73" s="35"/>
      <c r="AX73" s="35"/>
      <c r="AY73" s="36"/>
      <c r="BF73" s="35"/>
      <c r="BG73" s="35"/>
      <c r="BO73" s="35"/>
      <c r="BP73" s="35"/>
      <c r="BW73" s="36"/>
      <c r="BX73" s="36"/>
      <c r="BY73" s="36"/>
      <c r="BZ73" s="36"/>
      <c r="CY73" s="33"/>
    </row>
    <row r="74" spans="2:103" s="32" customFormat="1" x14ac:dyDescent="0.15">
      <c r="B74" s="33"/>
      <c r="E74" s="35"/>
      <c r="H74" s="33"/>
      <c r="N74" s="114"/>
      <c r="O74" s="34"/>
      <c r="P74" s="33"/>
      <c r="Q74" s="33"/>
      <c r="AA74" s="33"/>
      <c r="AB74" s="33"/>
      <c r="AC74" s="33"/>
      <c r="AD74" s="139"/>
      <c r="AE74" s="33"/>
      <c r="AL74" s="35"/>
      <c r="AV74" s="35"/>
      <c r="AW74" s="35"/>
      <c r="AX74" s="35"/>
      <c r="AY74" s="36"/>
      <c r="BF74" s="35"/>
      <c r="BG74" s="35"/>
      <c r="BO74" s="35"/>
      <c r="BP74" s="35"/>
      <c r="BW74" s="36"/>
      <c r="BX74" s="36"/>
      <c r="BY74" s="36"/>
      <c r="BZ74" s="36"/>
      <c r="CY74" s="33"/>
    </row>
    <row r="75" spans="2:103" s="32" customFormat="1" x14ac:dyDescent="0.15">
      <c r="B75" s="33"/>
      <c r="E75" s="35"/>
      <c r="H75" s="33"/>
      <c r="N75" s="114"/>
      <c r="O75" s="34"/>
      <c r="P75" s="33"/>
      <c r="Q75" s="33"/>
      <c r="AA75" s="33"/>
      <c r="AB75" s="33"/>
      <c r="AC75" s="33"/>
      <c r="AD75" s="139"/>
      <c r="AE75" s="33"/>
      <c r="AL75" s="35"/>
      <c r="AV75" s="35"/>
      <c r="AW75" s="35"/>
      <c r="AX75" s="35"/>
      <c r="AY75" s="36"/>
      <c r="BF75" s="35"/>
      <c r="BG75" s="35"/>
      <c r="BO75" s="35"/>
      <c r="BP75" s="35"/>
      <c r="BW75" s="36"/>
      <c r="BX75" s="36"/>
      <c r="BY75" s="36"/>
      <c r="BZ75" s="36"/>
      <c r="CY75" s="33"/>
    </row>
    <row r="76" spans="2:103" s="32" customFormat="1" x14ac:dyDescent="0.15">
      <c r="B76" s="33"/>
      <c r="E76" s="35"/>
      <c r="H76" s="33"/>
      <c r="N76" s="114"/>
      <c r="O76" s="34"/>
      <c r="P76" s="33"/>
      <c r="Q76" s="33"/>
      <c r="AA76" s="33"/>
      <c r="AB76" s="33"/>
      <c r="AC76" s="33"/>
      <c r="AD76" s="139"/>
      <c r="AE76" s="33"/>
      <c r="AL76" s="35"/>
      <c r="AV76" s="35"/>
      <c r="AW76" s="35"/>
      <c r="AX76" s="35"/>
      <c r="AY76" s="36"/>
      <c r="BF76" s="35"/>
      <c r="BG76" s="35"/>
      <c r="BO76" s="35"/>
      <c r="BP76" s="35"/>
      <c r="BW76" s="36"/>
      <c r="BX76" s="36"/>
      <c r="BY76" s="36"/>
      <c r="BZ76" s="36"/>
      <c r="CY76" s="33"/>
    </row>
    <row r="77" spans="2:103" s="32" customFormat="1" x14ac:dyDescent="0.15">
      <c r="B77" s="33"/>
      <c r="E77" s="35"/>
      <c r="H77" s="33"/>
      <c r="N77" s="114"/>
      <c r="O77" s="34"/>
      <c r="P77" s="33"/>
      <c r="Q77" s="33"/>
      <c r="AA77" s="33"/>
      <c r="AB77" s="33"/>
      <c r="AC77" s="33"/>
      <c r="AD77" s="139"/>
      <c r="AE77" s="33"/>
      <c r="AL77" s="35"/>
      <c r="AV77" s="35"/>
      <c r="AW77" s="35"/>
      <c r="AX77" s="35"/>
      <c r="AY77" s="36"/>
      <c r="BF77" s="35"/>
      <c r="BG77" s="35"/>
      <c r="BO77" s="35"/>
      <c r="BP77" s="35"/>
      <c r="BW77" s="36"/>
      <c r="BX77" s="36"/>
      <c r="BY77" s="36"/>
      <c r="BZ77" s="36"/>
      <c r="CY77" s="33"/>
    </row>
    <row r="78" spans="2:103" s="32" customFormat="1" x14ac:dyDescent="0.15">
      <c r="B78" s="33"/>
      <c r="E78" s="35"/>
      <c r="H78" s="33"/>
      <c r="N78" s="114"/>
      <c r="O78" s="34"/>
      <c r="P78" s="33"/>
      <c r="Q78" s="33"/>
      <c r="AA78" s="33"/>
      <c r="AB78" s="33"/>
      <c r="AC78" s="33"/>
      <c r="AD78" s="139"/>
      <c r="AE78" s="33"/>
      <c r="AL78" s="35"/>
      <c r="AV78" s="35"/>
      <c r="AW78" s="35"/>
      <c r="AX78" s="35"/>
      <c r="AY78" s="36"/>
      <c r="BF78" s="35"/>
      <c r="BG78" s="35"/>
      <c r="BO78" s="35"/>
      <c r="BP78" s="35"/>
      <c r="BW78" s="36"/>
      <c r="BX78" s="36"/>
      <c r="BY78" s="36"/>
      <c r="BZ78" s="36"/>
      <c r="CY78" s="33"/>
    </row>
    <row r="79" spans="2:103" s="32" customFormat="1" x14ac:dyDescent="0.15">
      <c r="B79" s="33"/>
      <c r="E79" s="35"/>
      <c r="H79" s="33"/>
      <c r="N79" s="114"/>
      <c r="O79" s="34"/>
      <c r="P79" s="33"/>
      <c r="Q79" s="33"/>
      <c r="AA79" s="33"/>
      <c r="AB79" s="33"/>
      <c r="AC79" s="33"/>
      <c r="AD79" s="139"/>
      <c r="AE79" s="33"/>
      <c r="AL79" s="35"/>
      <c r="AV79" s="35"/>
      <c r="AW79" s="35"/>
      <c r="AX79" s="35"/>
      <c r="AY79" s="36"/>
      <c r="BF79" s="35"/>
      <c r="BG79" s="35"/>
      <c r="BO79" s="35"/>
      <c r="BP79" s="35"/>
      <c r="BW79" s="36"/>
      <c r="BX79" s="36"/>
      <c r="BY79" s="36"/>
      <c r="BZ79" s="36"/>
      <c r="CY79" s="33"/>
    </row>
    <row r="80" spans="2:103" s="32" customFormat="1" x14ac:dyDescent="0.15">
      <c r="B80" s="33"/>
      <c r="E80" s="35"/>
      <c r="H80" s="33"/>
      <c r="N80" s="114"/>
      <c r="O80" s="34"/>
      <c r="P80" s="33"/>
      <c r="Q80" s="33"/>
      <c r="AA80" s="33"/>
      <c r="AB80" s="33"/>
      <c r="AC80" s="33"/>
      <c r="AD80" s="139"/>
      <c r="AE80" s="33"/>
      <c r="AL80" s="35"/>
      <c r="AV80" s="35"/>
      <c r="AW80" s="35"/>
      <c r="AX80" s="35"/>
      <c r="AY80" s="36"/>
      <c r="BF80" s="35"/>
      <c r="BG80" s="35"/>
      <c r="BO80" s="35"/>
      <c r="BP80" s="35"/>
      <c r="BW80" s="36"/>
      <c r="BX80" s="36"/>
      <c r="BY80" s="36"/>
      <c r="BZ80" s="36"/>
      <c r="CY80" s="33"/>
    </row>
    <row r="81" spans="2:103" s="32" customFormat="1" x14ac:dyDescent="0.15">
      <c r="B81" s="33"/>
      <c r="E81" s="35"/>
      <c r="H81" s="33"/>
      <c r="N81" s="114"/>
      <c r="O81" s="34"/>
      <c r="P81" s="33"/>
      <c r="Q81" s="33"/>
      <c r="AA81" s="33"/>
      <c r="AB81" s="33"/>
      <c r="AC81" s="33"/>
      <c r="AD81" s="139"/>
      <c r="AE81" s="33"/>
      <c r="AL81" s="35"/>
      <c r="AV81" s="35"/>
      <c r="AW81" s="35"/>
      <c r="AX81" s="35"/>
      <c r="AY81" s="36"/>
      <c r="BF81" s="35"/>
      <c r="BG81" s="35"/>
      <c r="BO81" s="35"/>
      <c r="BP81" s="35"/>
      <c r="BW81" s="36"/>
      <c r="BX81" s="36"/>
      <c r="BY81" s="36"/>
      <c r="BZ81" s="36"/>
      <c r="CY81" s="33"/>
    </row>
    <row r="82" spans="2:103" s="32" customFormat="1" x14ac:dyDescent="0.15">
      <c r="B82" s="33"/>
      <c r="E82" s="35"/>
      <c r="H82" s="33"/>
      <c r="N82" s="114"/>
      <c r="O82" s="34"/>
      <c r="P82" s="33"/>
      <c r="Q82" s="33"/>
      <c r="AA82" s="33"/>
      <c r="AB82" s="33"/>
      <c r="AC82" s="33"/>
      <c r="AD82" s="139"/>
      <c r="AE82" s="33"/>
      <c r="AL82" s="35"/>
      <c r="AV82" s="35"/>
      <c r="AW82" s="35"/>
      <c r="AX82" s="35"/>
      <c r="AY82" s="36"/>
      <c r="BF82" s="35"/>
      <c r="BG82" s="35"/>
      <c r="BO82" s="35"/>
      <c r="BP82" s="35"/>
      <c r="BW82" s="36"/>
      <c r="BX82" s="36"/>
      <c r="BY82" s="36"/>
      <c r="BZ82" s="36"/>
      <c r="CY82" s="33"/>
    </row>
    <row r="83" spans="2:103" s="32" customFormat="1" x14ac:dyDescent="0.15">
      <c r="B83" s="33"/>
      <c r="E83" s="35"/>
      <c r="H83" s="33"/>
      <c r="N83" s="114"/>
      <c r="O83" s="34"/>
      <c r="P83" s="33"/>
      <c r="Q83" s="33"/>
      <c r="AA83" s="33"/>
      <c r="AB83" s="33"/>
      <c r="AC83" s="33"/>
      <c r="AD83" s="139"/>
      <c r="AE83" s="33"/>
      <c r="AL83" s="35"/>
      <c r="AV83" s="35"/>
      <c r="AW83" s="35"/>
      <c r="AX83" s="35"/>
      <c r="AY83" s="36"/>
      <c r="BF83" s="35"/>
      <c r="BG83" s="35"/>
      <c r="BO83" s="35"/>
      <c r="BP83" s="35"/>
      <c r="BW83" s="36"/>
      <c r="BX83" s="36"/>
      <c r="BY83" s="36"/>
      <c r="BZ83" s="36"/>
      <c r="CY83" s="33"/>
    </row>
    <row r="84" spans="2:103" s="32" customFormat="1" x14ac:dyDescent="0.15">
      <c r="B84" s="33"/>
      <c r="E84" s="35"/>
      <c r="H84" s="33"/>
      <c r="N84" s="114"/>
      <c r="O84" s="34"/>
      <c r="P84" s="33"/>
      <c r="Q84" s="33"/>
      <c r="AA84" s="33"/>
      <c r="AB84" s="33"/>
      <c r="AC84" s="33"/>
      <c r="AD84" s="139"/>
      <c r="AE84" s="33"/>
      <c r="AL84" s="35"/>
      <c r="AV84" s="35"/>
      <c r="AW84" s="35"/>
      <c r="AX84" s="35"/>
      <c r="AY84" s="36"/>
      <c r="BF84" s="35"/>
      <c r="BG84" s="35"/>
      <c r="BO84" s="35"/>
      <c r="BP84" s="35"/>
      <c r="BW84" s="36"/>
      <c r="BX84" s="36"/>
      <c r="BY84" s="36"/>
      <c r="BZ84" s="36"/>
      <c r="CY84" s="33"/>
    </row>
    <row r="85" spans="2:103" s="32" customFormat="1" x14ac:dyDescent="0.15">
      <c r="B85" s="33"/>
      <c r="E85" s="35"/>
      <c r="H85" s="33"/>
      <c r="N85" s="114"/>
      <c r="O85" s="34"/>
      <c r="P85" s="33"/>
      <c r="Q85" s="33"/>
      <c r="AA85" s="33"/>
      <c r="AB85" s="33"/>
      <c r="AC85" s="33"/>
      <c r="AD85" s="139"/>
      <c r="AE85" s="33"/>
      <c r="AL85" s="35"/>
      <c r="AV85" s="35"/>
      <c r="AW85" s="35"/>
      <c r="AX85" s="35"/>
      <c r="AY85" s="36"/>
      <c r="BF85" s="35"/>
      <c r="BG85" s="35"/>
      <c r="BO85" s="35"/>
      <c r="BP85" s="35"/>
      <c r="BW85" s="36"/>
      <c r="BX85" s="36"/>
      <c r="BY85" s="36"/>
      <c r="BZ85" s="36"/>
      <c r="CY85" s="33"/>
    </row>
    <row r="86" spans="2:103" s="32" customFormat="1" x14ac:dyDescent="0.15">
      <c r="B86" s="33"/>
      <c r="E86" s="35"/>
      <c r="H86" s="33"/>
      <c r="N86" s="114"/>
      <c r="O86" s="34"/>
      <c r="P86" s="33"/>
      <c r="Q86" s="33"/>
      <c r="AA86" s="33"/>
      <c r="AB86" s="33"/>
      <c r="AC86" s="33"/>
      <c r="AD86" s="139"/>
      <c r="AE86" s="33"/>
      <c r="AL86" s="35"/>
      <c r="AV86" s="35"/>
      <c r="AW86" s="35"/>
      <c r="AX86" s="35"/>
      <c r="AY86" s="36"/>
      <c r="BF86" s="35"/>
      <c r="BG86" s="35"/>
      <c r="BO86" s="35"/>
      <c r="BP86" s="35"/>
      <c r="BW86" s="36"/>
      <c r="BX86" s="36"/>
      <c r="BY86" s="36"/>
      <c r="BZ86" s="36"/>
      <c r="CY86" s="33"/>
    </row>
    <row r="87" spans="2:103" s="32" customFormat="1" x14ac:dyDescent="0.15">
      <c r="B87" s="33"/>
      <c r="E87" s="35"/>
      <c r="H87" s="33"/>
      <c r="N87" s="114"/>
      <c r="O87" s="34"/>
      <c r="P87" s="33"/>
      <c r="Q87" s="33"/>
      <c r="AA87" s="33"/>
      <c r="AB87" s="33"/>
      <c r="AC87" s="33"/>
      <c r="AD87" s="139"/>
      <c r="AE87" s="33"/>
      <c r="AL87" s="35"/>
      <c r="AV87" s="35"/>
      <c r="AW87" s="35"/>
      <c r="AX87" s="35"/>
      <c r="AY87" s="36"/>
      <c r="BF87" s="35"/>
      <c r="BG87" s="35"/>
      <c r="BO87" s="35"/>
      <c r="BP87" s="35"/>
      <c r="BW87" s="36"/>
      <c r="BX87" s="36"/>
      <c r="BY87" s="36"/>
      <c r="BZ87" s="36"/>
      <c r="CY87" s="33"/>
    </row>
    <row r="88" spans="2:103" s="32" customFormat="1" x14ac:dyDescent="0.15">
      <c r="B88" s="33"/>
      <c r="E88" s="35"/>
      <c r="H88" s="33"/>
      <c r="N88" s="114"/>
      <c r="O88" s="34"/>
      <c r="P88" s="33"/>
      <c r="Q88" s="33"/>
      <c r="AA88" s="33"/>
      <c r="AB88" s="33"/>
      <c r="AC88" s="33"/>
      <c r="AD88" s="139"/>
      <c r="AE88" s="33"/>
      <c r="AL88" s="35"/>
      <c r="AV88" s="35"/>
      <c r="AW88" s="35"/>
      <c r="AX88" s="35"/>
      <c r="AY88" s="36"/>
      <c r="BF88" s="35"/>
      <c r="BG88" s="35"/>
      <c r="BO88" s="35"/>
      <c r="BP88" s="35"/>
      <c r="BW88" s="36"/>
      <c r="BX88" s="36"/>
      <c r="BY88" s="36"/>
      <c r="BZ88" s="36"/>
      <c r="CY88" s="33"/>
    </row>
    <row r="89" spans="2:103" s="32" customFormat="1" x14ac:dyDescent="0.15">
      <c r="B89" s="33"/>
      <c r="E89" s="35"/>
      <c r="H89" s="33"/>
      <c r="N89" s="114"/>
      <c r="O89" s="34"/>
      <c r="P89" s="33"/>
      <c r="Q89" s="33"/>
      <c r="AA89" s="33"/>
      <c r="AB89" s="33"/>
      <c r="AC89" s="33"/>
      <c r="AD89" s="139"/>
      <c r="AE89" s="33"/>
      <c r="AL89" s="35"/>
      <c r="AV89" s="35"/>
      <c r="AW89" s="35"/>
      <c r="AX89" s="35"/>
      <c r="AY89" s="36"/>
      <c r="BF89" s="35"/>
      <c r="BG89" s="35"/>
      <c r="BO89" s="35"/>
      <c r="BP89" s="35"/>
      <c r="BW89" s="36"/>
      <c r="BX89" s="36"/>
      <c r="BY89" s="36"/>
      <c r="BZ89" s="36"/>
      <c r="CY89" s="33"/>
    </row>
    <row r="90" spans="2:103" s="32" customFormat="1" x14ac:dyDescent="0.15">
      <c r="B90" s="33"/>
      <c r="E90" s="35"/>
      <c r="H90" s="33"/>
      <c r="N90" s="114"/>
      <c r="O90" s="34"/>
      <c r="P90" s="33"/>
      <c r="Q90" s="33"/>
      <c r="AA90" s="33"/>
      <c r="AB90" s="33"/>
      <c r="AC90" s="33"/>
      <c r="AD90" s="139"/>
      <c r="AE90" s="33"/>
      <c r="AL90" s="35"/>
      <c r="AV90" s="35"/>
      <c r="AW90" s="35"/>
      <c r="AX90" s="35"/>
      <c r="AY90" s="36"/>
      <c r="BF90" s="35"/>
      <c r="BG90" s="35"/>
      <c r="BO90" s="35"/>
      <c r="BP90" s="35"/>
      <c r="BW90" s="36"/>
      <c r="BX90" s="36"/>
      <c r="BY90" s="36"/>
      <c r="BZ90" s="36"/>
      <c r="CY90" s="33"/>
    </row>
    <row r="91" spans="2:103" s="32" customFormat="1" x14ac:dyDescent="0.15">
      <c r="B91" s="33"/>
      <c r="E91" s="35"/>
      <c r="H91" s="33"/>
      <c r="N91" s="114"/>
      <c r="O91" s="34"/>
      <c r="P91" s="33"/>
      <c r="Q91" s="33"/>
      <c r="AA91" s="33"/>
      <c r="AB91" s="33"/>
      <c r="AC91" s="33"/>
      <c r="AD91" s="139"/>
      <c r="AE91" s="33"/>
      <c r="AL91" s="35"/>
      <c r="AV91" s="35"/>
      <c r="AW91" s="35"/>
      <c r="AX91" s="35"/>
      <c r="AY91" s="36"/>
      <c r="BF91" s="35"/>
      <c r="BG91" s="35"/>
      <c r="BO91" s="35"/>
      <c r="BP91" s="35"/>
      <c r="BW91" s="36"/>
      <c r="BX91" s="36"/>
      <c r="BY91" s="36"/>
      <c r="BZ91" s="36"/>
      <c r="CY91" s="33"/>
    </row>
    <row r="92" spans="2:103" s="32" customFormat="1" x14ac:dyDescent="0.15">
      <c r="B92" s="33"/>
      <c r="E92" s="35"/>
      <c r="H92" s="33"/>
      <c r="N92" s="114"/>
      <c r="O92" s="34"/>
      <c r="P92" s="33"/>
      <c r="Q92" s="33"/>
      <c r="AA92" s="33"/>
      <c r="AB92" s="33"/>
      <c r="AC92" s="33"/>
      <c r="AD92" s="139"/>
      <c r="AE92" s="33"/>
      <c r="AL92" s="35"/>
      <c r="AV92" s="35"/>
      <c r="AW92" s="35"/>
      <c r="AX92" s="35"/>
      <c r="AY92" s="36"/>
      <c r="BF92" s="35"/>
      <c r="BG92" s="35"/>
      <c r="BO92" s="35"/>
      <c r="BP92" s="35"/>
      <c r="BW92" s="36"/>
      <c r="BX92" s="36"/>
      <c r="BY92" s="36"/>
      <c r="BZ92" s="36"/>
      <c r="CY92" s="33"/>
    </row>
    <row r="93" spans="2:103" s="32" customFormat="1" x14ac:dyDescent="0.15">
      <c r="B93" s="33"/>
      <c r="E93" s="35"/>
      <c r="H93" s="33"/>
      <c r="N93" s="114"/>
      <c r="O93" s="34"/>
      <c r="P93" s="33"/>
      <c r="Q93" s="33"/>
      <c r="AA93" s="33"/>
      <c r="AB93" s="33"/>
      <c r="AC93" s="33"/>
      <c r="AD93" s="139"/>
      <c r="AE93" s="33"/>
      <c r="AL93" s="35"/>
      <c r="AV93" s="35"/>
      <c r="AW93" s="35"/>
      <c r="AX93" s="35"/>
      <c r="AY93" s="36"/>
      <c r="BF93" s="35"/>
      <c r="BG93" s="35"/>
      <c r="BO93" s="35"/>
      <c r="BP93" s="35"/>
      <c r="BW93" s="36"/>
      <c r="BX93" s="36"/>
      <c r="BY93" s="36"/>
      <c r="BZ93" s="36"/>
      <c r="CY93" s="33"/>
    </row>
    <row r="94" spans="2:103" s="32" customFormat="1" x14ac:dyDescent="0.15">
      <c r="B94" s="33"/>
      <c r="E94" s="35"/>
      <c r="H94" s="33"/>
      <c r="N94" s="114"/>
      <c r="O94" s="34"/>
      <c r="P94" s="33"/>
      <c r="Q94" s="33"/>
      <c r="AA94" s="33"/>
      <c r="AB94" s="33"/>
      <c r="AC94" s="33"/>
      <c r="AD94" s="139"/>
      <c r="AE94" s="33"/>
      <c r="AL94" s="35"/>
      <c r="AV94" s="35"/>
      <c r="AW94" s="35"/>
      <c r="AX94" s="35"/>
      <c r="AY94" s="36"/>
      <c r="BF94" s="35"/>
      <c r="BG94" s="35"/>
      <c r="BO94" s="35"/>
      <c r="BP94" s="35"/>
      <c r="BW94" s="36"/>
      <c r="BX94" s="36"/>
      <c r="BY94" s="36"/>
      <c r="BZ94" s="36"/>
      <c r="CY94" s="33"/>
    </row>
    <row r="95" spans="2:103" s="32" customFormat="1" x14ac:dyDescent="0.15">
      <c r="B95" s="33"/>
      <c r="E95" s="35"/>
      <c r="H95" s="33"/>
      <c r="N95" s="114"/>
      <c r="O95" s="34"/>
      <c r="P95" s="33"/>
      <c r="Q95" s="33"/>
      <c r="AA95" s="33"/>
      <c r="AB95" s="33"/>
      <c r="AC95" s="33"/>
      <c r="AD95" s="139"/>
      <c r="AE95" s="33"/>
      <c r="AL95" s="35"/>
      <c r="AV95" s="35"/>
      <c r="AW95" s="35"/>
      <c r="AX95" s="35"/>
      <c r="AY95" s="36"/>
      <c r="BF95" s="35"/>
      <c r="BG95" s="35"/>
      <c r="BO95" s="35"/>
      <c r="BP95" s="35"/>
      <c r="BW95" s="36"/>
      <c r="BX95" s="36"/>
      <c r="BY95" s="36"/>
      <c r="BZ95" s="36"/>
      <c r="CY95" s="33"/>
    </row>
    <row r="96" spans="2:103" s="32" customFormat="1" x14ac:dyDescent="0.15">
      <c r="B96" s="33"/>
      <c r="E96" s="35"/>
      <c r="H96" s="33"/>
      <c r="N96" s="114"/>
      <c r="O96" s="34"/>
      <c r="P96" s="33"/>
      <c r="Q96" s="33"/>
      <c r="AA96" s="33"/>
      <c r="AB96" s="33"/>
      <c r="AC96" s="33"/>
      <c r="AD96" s="139"/>
      <c r="AE96" s="33"/>
      <c r="AL96" s="35"/>
      <c r="AV96" s="35"/>
      <c r="AW96" s="35"/>
      <c r="AX96" s="35"/>
      <c r="AY96" s="36"/>
      <c r="BF96" s="35"/>
      <c r="BG96" s="35"/>
      <c r="BO96" s="35"/>
      <c r="BP96" s="35"/>
      <c r="BW96" s="36"/>
      <c r="BX96" s="36"/>
      <c r="BY96" s="36"/>
      <c r="BZ96" s="36"/>
      <c r="CY96" s="33"/>
    </row>
    <row r="97" spans="2:103" s="32" customFormat="1" x14ac:dyDescent="0.15">
      <c r="B97" s="33"/>
      <c r="E97" s="35"/>
      <c r="H97" s="33"/>
      <c r="N97" s="114"/>
      <c r="O97" s="34"/>
      <c r="P97" s="33"/>
      <c r="Q97" s="33"/>
      <c r="AA97" s="33"/>
      <c r="AB97" s="33"/>
      <c r="AC97" s="33"/>
      <c r="AD97" s="139"/>
      <c r="AE97" s="33"/>
      <c r="AL97" s="35"/>
      <c r="AV97" s="35"/>
      <c r="AW97" s="35"/>
      <c r="AX97" s="35"/>
      <c r="AY97" s="36"/>
      <c r="BF97" s="35"/>
      <c r="BG97" s="35"/>
      <c r="BO97" s="35"/>
      <c r="BP97" s="35"/>
      <c r="BW97" s="36"/>
      <c r="BX97" s="36"/>
      <c r="BY97" s="36"/>
      <c r="BZ97" s="36"/>
      <c r="CY97" s="33"/>
    </row>
    <row r="98" spans="2:103" s="32" customFormat="1" x14ac:dyDescent="0.15">
      <c r="B98" s="33"/>
      <c r="E98" s="35"/>
      <c r="H98" s="33"/>
      <c r="N98" s="114"/>
      <c r="O98" s="34"/>
      <c r="P98" s="33"/>
      <c r="Q98" s="33"/>
      <c r="AA98" s="33"/>
      <c r="AB98" s="33"/>
      <c r="AC98" s="33"/>
      <c r="AD98" s="139"/>
      <c r="AE98" s="33"/>
      <c r="AL98" s="35"/>
      <c r="AV98" s="35"/>
      <c r="AW98" s="35"/>
      <c r="AX98" s="35"/>
      <c r="AY98" s="36"/>
      <c r="BF98" s="35"/>
      <c r="BG98" s="35"/>
      <c r="BO98" s="35"/>
      <c r="BP98" s="35"/>
      <c r="BW98" s="36"/>
      <c r="BX98" s="36"/>
      <c r="BY98" s="36"/>
      <c r="BZ98" s="36"/>
      <c r="CY98" s="33"/>
    </row>
    <row r="99" spans="2:103" s="32" customFormat="1" x14ac:dyDescent="0.15">
      <c r="B99" s="33"/>
      <c r="E99" s="35"/>
      <c r="H99" s="33"/>
      <c r="N99" s="114"/>
      <c r="O99" s="34"/>
      <c r="P99" s="33"/>
      <c r="Q99" s="33"/>
      <c r="AA99" s="33"/>
      <c r="AB99" s="33"/>
      <c r="AC99" s="33"/>
      <c r="AD99" s="139"/>
      <c r="AE99" s="33"/>
      <c r="AL99" s="35"/>
      <c r="AV99" s="35"/>
      <c r="AW99" s="35"/>
      <c r="AX99" s="35"/>
      <c r="AY99" s="36"/>
      <c r="BF99" s="35"/>
      <c r="BG99" s="35"/>
      <c r="BO99" s="35"/>
      <c r="BP99" s="35"/>
      <c r="BW99" s="36"/>
      <c r="BX99" s="36"/>
      <c r="BY99" s="36"/>
      <c r="BZ99" s="36"/>
      <c r="CY99" s="33"/>
    </row>
    <row r="100" spans="2:103" s="32" customFormat="1" x14ac:dyDescent="0.15">
      <c r="B100" s="33"/>
      <c r="E100" s="35"/>
      <c r="H100" s="33"/>
      <c r="N100" s="114"/>
      <c r="O100" s="34"/>
      <c r="P100" s="33"/>
      <c r="Q100" s="33"/>
      <c r="AA100" s="33"/>
      <c r="AB100" s="33"/>
      <c r="AC100" s="33"/>
      <c r="AD100" s="139"/>
      <c r="AE100" s="33"/>
      <c r="AL100" s="35"/>
      <c r="AV100" s="35"/>
      <c r="AW100" s="35"/>
      <c r="AX100" s="35"/>
      <c r="AY100" s="36"/>
      <c r="BF100" s="35"/>
      <c r="BG100" s="35"/>
      <c r="BO100" s="35"/>
      <c r="BP100" s="35"/>
      <c r="BW100" s="36"/>
      <c r="BX100" s="36"/>
      <c r="BY100" s="36"/>
      <c r="BZ100" s="36"/>
      <c r="CY100" s="33"/>
    </row>
    <row r="101" spans="2:103" s="32" customFormat="1" x14ac:dyDescent="0.15">
      <c r="B101" s="33"/>
      <c r="E101" s="35"/>
      <c r="H101" s="33"/>
      <c r="N101" s="114"/>
      <c r="O101" s="34"/>
      <c r="P101" s="33"/>
      <c r="Q101" s="33"/>
      <c r="AA101" s="33"/>
      <c r="AB101" s="33"/>
      <c r="AC101" s="33"/>
      <c r="AD101" s="139"/>
      <c r="AE101" s="33"/>
      <c r="AL101" s="35"/>
      <c r="AV101" s="35"/>
      <c r="AW101" s="35"/>
      <c r="AX101" s="35"/>
      <c r="AY101" s="36"/>
      <c r="BF101" s="35"/>
      <c r="BG101" s="35"/>
      <c r="BO101" s="35"/>
      <c r="BP101" s="35"/>
      <c r="BW101" s="36"/>
      <c r="BX101" s="36"/>
      <c r="BY101" s="36"/>
      <c r="BZ101" s="36"/>
      <c r="CY101" s="33"/>
    </row>
    <row r="102" spans="2:103" s="32" customFormat="1" x14ac:dyDescent="0.15">
      <c r="B102" s="33"/>
      <c r="E102" s="35"/>
      <c r="H102" s="33"/>
      <c r="N102" s="114"/>
      <c r="O102" s="34"/>
      <c r="P102" s="33"/>
      <c r="Q102" s="33"/>
      <c r="AA102" s="33"/>
      <c r="AB102" s="33"/>
      <c r="AC102" s="33"/>
      <c r="AD102" s="139"/>
      <c r="AE102" s="33"/>
      <c r="AL102" s="35"/>
      <c r="AV102" s="35"/>
      <c r="AW102" s="35"/>
      <c r="AX102" s="35"/>
      <c r="AY102" s="36"/>
      <c r="BF102" s="35"/>
      <c r="BG102" s="35"/>
      <c r="BO102" s="35"/>
      <c r="BP102" s="35"/>
      <c r="BW102" s="36"/>
      <c r="BX102" s="36"/>
      <c r="BY102" s="36"/>
      <c r="BZ102" s="36"/>
      <c r="CY102" s="33"/>
    </row>
    <row r="103" spans="2:103" s="32" customFormat="1" x14ac:dyDescent="0.15">
      <c r="B103" s="33"/>
      <c r="E103" s="35"/>
      <c r="H103" s="33"/>
      <c r="N103" s="114"/>
      <c r="O103" s="34"/>
      <c r="P103" s="33"/>
      <c r="Q103" s="33"/>
      <c r="AA103" s="33"/>
      <c r="AB103" s="33"/>
      <c r="AC103" s="33"/>
      <c r="AD103" s="139"/>
      <c r="AE103" s="33"/>
      <c r="AL103" s="35"/>
      <c r="AV103" s="35"/>
      <c r="AW103" s="35"/>
      <c r="AX103" s="35"/>
      <c r="AY103" s="36"/>
      <c r="BF103" s="35"/>
      <c r="BG103" s="35"/>
      <c r="BO103" s="35"/>
      <c r="BP103" s="35"/>
      <c r="BW103" s="36"/>
      <c r="BX103" s="36"/>
      <c r="BY103" s="36"/>
      <c r="BZ103" s="36"/>
      <c r="CY103" s="33"/>
    </row>
    <row r="104" spans="2:103" s="32" customFormat="1" x14ac:dyDescent="0.15">
      <c r="B104" s="33"/>
      <c r="E104" s="35"/>
      <c r="H104" s="33"/>
      <c r="N104" s="114"/>
      <c r="O104" s="34"/>
      <c r="P104" s="33"/>
      <c r="Q104" s="33"/>
      <c r="AA104" s="33"/>
      <c r="AB104" s="33"/>
      <c r="AC104" s="33"/>
      <c r="AD104" s="139"/>
      <c r="AE104" s="33"/>
      <c r="AL104" s="35"/>
      <c r="AV104" s="35"/>
      <c r="AW104" s="35"/>
      <c r="AX104" s="35"/>
      <c r="AY104" s="36"/>
      <c r="BF104" s="35"/>
      <c r="BG104" s="35"/>
      <c r="BO104" s="35"/>
      <c r="BP104" s="35"/>
      <c r="BW104" s="36"/>
      <c r="BX104" s="36"/>
      <c r="BY104" s="36"/>
      <c r="BZ104" s="36"/>
      <c r="CY104" s="33"/>
    </row>
    <row r="105" spans="2:103" s="32" customFormat="1" x14ac:dyDescent="0.15">
      <c r="B105" s="33"/>
      <c r="E105" s="35"/>
      <c r="H105" s="33"/>
      <c r="N105" s="114"/>
      <c r="O105" s="34"/>
      <c r="P105" s="33"/>
      <c r="Q105" s="33"/>
      <c r="AA105" s="33"/>
      <c r="AB105" s="33"/>
      <c r="AC105" s="33"/>
      <c r="AD105" s="139"/>
      <c r="AE105" s="33"/>
      <c r="AL105" s="35"/>
      <c r="AV105" s="35"/>
      <c r="AW105" s="35"/>
      <c r="AX105" s="35"/>
      <c r="AY105" s="36"/>
      <c r="BF105" s="35"/>
      <c r="BG105" s="35"/>
      <c r="BO105" s="35"/>
      <c r="BP105" s="35"/>
      <c r="BW105" s="36"/>
      <c r="BX105" s="36"/>
      <c r="BY105" s="36"/>
      <c r="BZ105" s="36"/>
      <c r="CY105" s="33"/>
    </row>
    <row r="106" spans="2:103" s="32" customFormat="1" x14ac:dyDescent="0.15">
      <c r="B106" s="33"/>
      <c r="E106" s="35"/>
      <c r="H106" s="33"/>
      <c r="N106" s="114"/>
      <c r="O106" s="34"/>
      <c r="P106" s="33"/>
      <c r="Q106" s="33"/>
      <c r="AA106" s="33"/>
      <c r="AB106" s="33"/>
      <c r="AC106" s="33"/>
      <c r="AD106" s="139"/>
      <c r="AE106" s="33"/>
      <c r="AL106" s="35"/>
      <c r="AV106" s="35"/>
      <c r="AW106" s="35"/>
      <c r="AX106" s="35"/>
      <c r="AY106" s="36"/>
      <c r="BF106" s="35"/>
      <c r="BG106" s="35"/>
      <c r="BO106" s="35"/>
      <c r="BP106" s="35"/>
      <c r="BW106" s="36"/>
      <c r="BX106" s="36"/>
      <c r="BY106" s="36"/>
      <c r="BZ106" s="36"/>
      <c r="CY106" s="33"/>
    </row>
    <row r="107" spans="2:103" s="32" customFormat="1" x14ac:dyDescent="0.15">
      <c r="B107" s="33"/>
      <c r="E107" s="35"/>
      <c r="H107" s="33"/>
      <c r="N107" s="114"/>
      <c r="O107" s="34"/>
      <c r="P107" s="33"/>
      <c r="Q107" s="33"/>
      <c r="AA107" s="33"/>
      <c r="AB107" s="33"/>
      <c r="AC107" s="33"/>
      <c r="AD107" s="139"/>
      <c r="AE107" s="33"/>
      <c r="AL107" s="35"/>
      <c r="AV107" s="35"/>
      <c r="AW107" s="35"/>
      <c r="AX107" s="35"/>
      <c r="AY107" s="36"/>
      <c r="BF107" s="35"/>
      <c r="BG107" s="35"/>
      <c r="BO107" s="35"/>
      <c r="BP107" s="35"/>
      <c r="BW107" s="36"/>
      <c r="BX107" s="36"/>
      <c r="BY107" s="36"/>
      <c r="BZ107" s="36"/>
      <c r="CY107" s="33"/>
    </row>
    <row r="108" spans="2:103" s="32" customFormat="1" x14ac:dyDescent="0.15">
      <c r="B108" s="33"/>
      <c r="E108" s="35"/>
      <c r="H108" s="33"/>
      <c r="N108" s="114"/>
      <c r="O108" s="34"/>
      <c r="P108" s="33"/>
      <c r="Q108" s="33"/>
      <c r="AA108" s="33"/>
      <c r="AB108" s="33"/>
      <c r="AC108" s="33"/>
      <c r="AD108" s="139"/>
      <c r="AE108" s="33"/>
      <c r="AL108" s="35"/>
      <c r="AV108" s="35"/>
      <c r="AW108" s="35"/>
      <c r="AX108" s="35"/>
      <c r="AY108" s="36"/>
      <c r="BF108" s="35"/>
      <c r="BG108" s="35"/>
      <c r="BO108" s="35"/>
      <c r="BP108" s="35"/>
      <c r="BW108" s="36"/>
      <c r="BX108" s="36"/>
      <c r="BY108" s="36"/>
      <c r="BZ108" s="36"/>
      <c r="CY108" s="33"/>
    </row>
    <row r="109" spans="2:103" s="32" customFormat="1" x14ac:dyDescent="0.15">
      <c r="B109" s="33"/>
      <c r="E109" s="35"/>
      <c r="H109" s="33"/>
      <c r="N109" s="114"/>
      <c r="O109" s="34"/>
      <c r="P109" s="33"/>
      <c r="Q109" s="33"/>
      <c r="AA109" s="33"/>
      <c r="AB109" s="33"/>
      <c r="AC109" s="33"/>
      <c r="AD109" s="139"/>
      <c r="AE109" s="33"/>
      <c r="AL109" s="35"/>
      <c r="AV109" s="35"/>
      <c r="AW109" s="35"/>
      <c r="AX109" s="35"/>
      <c r="AY109" s="36"/>
      <c r="BF109" s="35"/>
      <c r="BG109" s="35"/>
      <c r="BO109" s="35"/>
      <c r="BP109" s="35"/>
      <c r="BW109" s="36"/>
      <c r="BX109" s="36"/>
      <c r="BY109" s="36"/>
      <c r="BZ109" s="36"/>
      <c r="CY109" s="33"/>
    </row>
    <row r="110" spans="2:103" s="32" customFormat="1" x14ac:dyDescent="0.15">
      <c r="B110" s="33"/>
      <c r="E110" s="35"/>
      <c r="H110" s="33"/>
      <c r="N110" s="114"/>
      <c r="O110" s="34"/>
      <c r="P110" s="33"/>
      <c r="Q110" s="33"/>
      <c r="AA110" s="33"/>
      <c r="AB110" s="33"/>
      <c r="AC110" s="33"/>
      <c r="AD110" s="139"/>
      <c r="AE110" s="33"/>
      <c r="AL110" s="35"/>
      <c r="AV110" s="35"/>
      <c r="AW110" s="35"/>
      <c r="AX110" s="35"/>
      <c r="AY110" s="36"/>
      <c r="BF110" s="35"/>
      <c r="BG110" s="35"/>
      <c r="BO110" s="35"/>
      <c r="BP110" s="35"/>
      <c r="BW110" s="36"/>
      <c r="BX110" s="36"/>
      <c r="BY110" s="36"/>
      <c r="BZ110" s="36"/>
      <c r="CY110" s="33"/>
    </row>
    <row r="111" spans="2:103" s="32" customFormat="1" x14ac:dyDescent="0.15">
      <c r="B111" s="33"/>
      <c r="E111" s="35"/>
      <c r="H111" s="33"/>
      <c r="N111" s="114"/>
      <c r="O111" s="34"/>
      <c r="P111" s="33"/>
      <c r="Q111" s="33"/>
      <c r="AA111" s="33"/>
      <c r="AB111" s="33"/>
      <c r="AC111" s="33"/>
      <c r="AD111" s="139"/>
      <c r="AE111" s="33"/>
      <c r="AL111" s="35"/>
      <c r="AV111" s="35"/>
      <c r="AW111" s="35"/>
      <c r="AX111" s="35"/>
      <c r="AY111" s="36"/>
      <c r="BF111" s="35"/>
      <c r="BG111" s="35"/>
      <c r="BO111" s="35"/>
      <c r="BP111" s="35"/>
      <c r="BW111" s="36"/>
      <c r="BX111" s="36"/>
      <c r="BY111" s="36"/>
      <c r="BZ111" s="36"/>
      <c r="CY111" s="33"/>
    </row>
    <row r="112" spans="2:103" s="32" customFormat="1" x14ac:dyDescent="0.15">
      <c r="B112" s="33"/>
      <c r="E112" s="35"/>
      <c r="H112" s="33"/>
      <c r="N112" s="114"/>
      <c r="O112" s="34"/>
      <c r="P112" s="33"/>
      <c r="Q112" s="33"/>
      <c r="AA112" s="33"/>
      <c r="AB112" s="33"/>
      <c r="AC112" s="33"/>
      <c r="AD112" s="139"/>
      <c r="AE112" s="33"/>
      <c r="AL112" s="35"/>
      <c r="AV112" s="35"/>
      <c r="AW112" s="35"/>
      <c r="AX112" s="35"/>
      <c r="AY112" s="36"/>
      <c r="BF112" s="35"/>
      <c r="BG112" s="35"/>
      <c r="BO112" s="35"/>
      <c r="BP112" s="35"/>
      <c r="BW112" s="36"/>
      <c r="BX112" s="36"/>
      <c r="BY112" s="36"/>
      <c r="BZ112" s="36"/>
      <c r="CY112" s="33"/>
    </row>
    <row r="113" spans="2:103" s="32" customFormat="1" x14ac:dyDescent="0.15">
      <c r="B113" s="33"/>
      <c r="E113" s="35"/>
      <c r="H113" s="33"/>
      <c r="N113" s="114"/>
      <c r="O113" s="34"/>
      <c r="P113" s="33"/>
      <c r="Q113" s="33"/>
      <c r="AA113" s="33"/>
      <c r="AB113" s="33"/>
      <c r="AC113" s="33"/>
      <c r="AD113" s="139"/>
      <c r="AE113" s="33"/>
      <c r="AL113" s="35"/>
      <c r="AV113" s="35"/>
      <c r="AW113" s="35"/>
      <c r="AX113" s="35"/>
      <c r="AY113" s="36"/>
      <c r="BF113" s="35"/>
      <c r="BG113" s="35"/>
      <c r="BO113" s="35"/>
      <c r="BP113" s="35"/>
      <c r="BW113" s="36"/>
      <c r="BX113" s="36"/>
      <c r="BY113" s="36"/>
      <c r="BZ113" s="36"/>
      <c r="CY113" s="33"/>
    </row>
    <row r="114" spans="2:103" s="32" customFormat="1" x14ac:dyDescent="0.15">
      <c r="B114" s="33"/>
      <c r="E114" s="35"/>
      <c r="H114" s="33"/>
      <c r="N114" s="114"/>
      <c r="O114" s="34"/>
      <c r="P114" s="33"/>
      <c r="Q114" s="33"/>
      <c r="AA114" s="33"/>
      <c r="AB114" s="33"/>
      <c r="AC114" s="33"/>
      <c r="AD114" s="139"/>
      <c r="AE114" s="33"/>
      <c r="AL114" s="35"/>
      <c r="AV114" s="35"/>
      <c r="AW114" s="35"/>
      <c r="AX114" s="35"/>
      <c r="AY114" s="36"/>
      <c r="BF114" s="35"/>
      <c r="BG114" s="35"/>
      <c r="BO114" s="35"/>
      <c r="BP114" s="35"/>
      <c r="BW114" s="36"/>
      <c r="BX114" s="36"/>
      <c r="BY114" s="36"/>
      <c r="BZ114" s="36"/>
      <c r="CY114" s="33"/>
    </row>
    <row r="115" spans="2:103" s="32" customFormat="1" x14ac:dyDescent="0.15">
      <c r="B115" s="33"/>
      <c r="E115" s="35"/>
      <c r="H115" s="33"/>
      <c r="N115" s="114"/>
      <c r="O115" s="34"/>
      <c r="P115" s="33"/>
      <c r="Q115" s="33"/>
      <c r="AA115" s="33"/>
      <c r="AB115" s="33"/>
      <c r="AC115" s="33"/>
      <c r="AD115" s="139"/>
      <c r="AE115" s="33"/>
      <c r="AL115" s="35"/>
      <c r="AV115" s="35"/>
      <c r="AW115" s="35"/>
      <c r="AX115" s="35"/>
      <c r="AY115" s="36"/>
      <c r="BF115" s="35"/>
      <c r="BG115" s="35"/>
      <c r="BO115" s="35"/>
      <c r="BP115" s="35"/>
      <c r="BW115" s="36"/>
      <c r="BX115" s="36"/>
      <c r="BY115" s="36"/>
      <c r="BZ115" s="36"/>
      <c r="CY115" s="33"/>
    </row>
    <row r="116" spans="2:103" s="32" customFormat="1" x14ac:dyDescent="0.15">
      <c r="B116" s="33"/>
      <c r="E116" s="35"/>
      <c r="H116" s="33"/>
      <c r="N116" s="114"/>
      <c r="O116" s="34"/>
      <c r="P116" s="33"/>
      <c r="Q116" s="33"/>
      <c r="AA116" s="33"/>
      <c r="AB116" s="33"/>
      <c r="AC116" s="33"/>
      <c r="AD116" s="139"/>
      <c r="AE116" s="33"/>
      <c r="AL116" s="35"/>
      <c r="AV116" s="35"/>
      <c r="AW116" s="35"/>
      <c r="AX116" s="35"/>
      <c r="AY116" s="36"/>
      <c r="BF116" s="35"/>
      <c r="BG116" s="35"/>
      <c r="BO116" s="35"/>
      <c r="BP116" s="35"/>
      <c r="BW116" s="36"/>
      <c r="BX116" s="36"/>
      <c r="BY116" s="36"/>
      <c r="BZ116" s="36"/>
      <c r="CY116" s="33"/>
    </row>
    <row r="117" spans="2:103" s="32" customFormat="1" x14ac:dyDescent="0.15">
      <c r="B117" s="33"/>
      <c r="E117" s="35"/>
      <c r="H117" s="33"/>
      <c r="N117" s="114"/>
      <c r="O117" s="34"/>
      <c r="P117" s="33"/>
      <c r="Q117" s="33"/>
      <c r="AA117" s="33"/>
      <c r="AB117" s="33"/>
      <c r="AC117" s="33"/>
      <c r="AD117" s="139"/>
      <c r="AE117" s="33"/>
      <c r="AL117" s="35"/>
      <c r="AV117" s="35"/>
      <c r="AW117" s="35"/>
      <c r="AX117" s="35"/>
      <c r="AY117" s="36"/>
      <c r="BF117" s="35"/>
      <c r="BG117" s="35"/>
      <c r="BO117" s="35"/>
      <c r="BP117" s="35"/>
      <c r="BW117" s="36"/>
      <c r="BX117" s="36"/>
      <c r="BY117" s="36"/>
      <c r="BZ117" s="36"/>
      <c r="CY117" s="33"/>
    </row>
    <row r="118" spans="2:103" s="32" customFormat="1" x14ac:dyDescent="0.15">
      <c r="B118" s="33"/>
      <c r="E118" s="35"/>
      <c r="H118" s="33"/>
      <c r="N118" s="114"/>
      <c r="O118" s="34"/>
      <c r="P118" s="33"/>
      <c r="Q118" s="33"/>
      <c r="AA118" s="33"/>
      <c r="AB118" s="33"/>
      <c r="AC118" s="33"/>
      <c r="AD118" s="139"/>
      <c r="AE118" s="33"/>
      <c r="AL118" s="35"/>
      <c r="AV118" s="35"/>
      <c r="AW118" s="35"/>
      <c r="AX118" s="35"/>
      <c r="AY118" s="36"/>
      <c r="BF118" s="35"/>
      <c r="BG118" s="35"/>
      <c r="BO118" s="35"/>
      <c r="BP118" s="35"/>
      <c r="BW118" s="36"/>
      <c r="BX118" s="36"/>
      <c r="BY118" s="36"/>
      <c r="BZ118" s="36"/>
      <c r="CY118" s="33"/>
    </row>
    <row r="119" spans="2:103" s="32" customFormat="1" x14ac:dyDescent="0.15">
      <c r="B119" s="33"/>
      <c r="E119" s="35"/>
      <c r="H119" s="33"/>
      <c r="N119" s="114"/>
      <c r="O119" s="34"/>
      <c r="P119" s="33"/>
      <c r="Q119" s="33"/>
      <c r="AA119" s="33"/>
      <c r="AB119" s="33"/>
      <c r="AC119" s="33"/>
      <c r="AD119" s="139"/>
      <c r="AE119" s="33"/>
      <c r="AL119" s="35"/>
      <c r="AV119" s="35"/>
      <c r="AW119" s="35"/>
      <c r="AX119" s="35"/>
      <c r="AY119" s="36"/>
      <c r="BF119" s="35"/>
      <c r="BG119" s="35"/>
      <c r="BO119" s="35"/>
      <c r="BP119" s="35"/>
      <c r="BW119" s="36"/>
      <c r="BX119" s="36"/>
      <c r="BY119" s="36"/>
      <c r="BZ119" s="36"/>
      <c r="CY119" s="33"/>
    </row>
    <row r="120" spans="2:103" s="32" customFormat="1" x14ac:dyDescent="0.15">
      <c r="B120" s="33"/>
      <c r="E120" s="35"/>
      <c r="H120" s="33"/>
      <c r="N120" s="114"/>
      <c r="O120" s="34"/>
      <c r="P120" s="33"/>
      <c r="Q120" s="33"/>
      <c r="AA120" s="33"/>
      <c r="AB120" s="33"/>
      <c r="AC120" s="33"/>
      <c r="AD120" s="139"/>
      <c r="AE120" s="33"/>
      <c r="AL120" s="35"/>
      <c r="AV120" s="35"/>
      <c r="AW120" s="35"/>
      <c r="AX120" s="35"/>
      <c r="AY120" s="36"/>
      <c r="BF120" s="35"/>
      <c r="BG120" s="35"/>
      <c r="BO120" s="35"/>
      <c r="BP120" s="35"/>
      <c r="BW120" s="36"/>
      <c r="BX120" s="36"/>
      <c r="BY120" s="36"/>
      <c r="BZ120" s="36"/>
      <c r="CY120" s="33"/>
    </row>
    <row r="121" spans="2:103" s="32" customFormat="1" x14ac:dyDescent="0.15">
      <c r="B121" s="33"/>
      <c r="E121" s="35"/>
      <c r="H121" s="33"/>
      <c r="N121" s="114"/>
      <c r="O121" s="34"/>
      <c r="P121" s="33"/>
      <c r="Q121" s="33"/>
      <c r="AA121" s="33"/>
      <c r="AB121" s="33"/>
      <c r="AC121" s="33"/>
      <c r="AD121" s="139"/>
      <c r="AE121" s="33"/>
      <c r="AL121" s="35"/>
      <c r="AV121" s="35"/>
      <c r="AW121" s="35"/>
      <c r="AX121" s="35"/>
      <c r="AY121" s="36"/>
      <c r="BF121" s="35"/>
      <c r="BG121" s="35"/>
      <c r="BO121" s="35"/>
      <c r="BP121" s="35"/>
      <c r="BW121" s="36"/>
      <c r="BX121" s="36"/>
      <c r="BY121" s="36"/>
      <c r="BZ121" s="36"/>
      <c r="CY121" s="33"/>
    </row>
    <row r="122" spans="2:103" s="32" customFormat="1" x14ac:dyDescent="0.15">
      <c r="B122" s="33"/>
      <c r="E122" s="35"/>
      <c r="H122" s="33"/>
      <c r="N122" s="114"/>
      <c r="O122" s="34"/>
      <c r="P122" s="33"/>
      <c r="Q122" s="33"/>
      <c r="AA122" s="33"/>
      <c r="AB122" s="33"/>
      <c r="AC122" s="33"/>
      <c r="AD122" s="139"/>
      <c r="AE122" s="33"/>
      <c r="AL122" s="35"/>
      <c r="AV122" s="35"/>
      <c r="AW122" s="35"/>
      <c r="AX122" s="35"/>
      <c r="AY122" s="36"/>
      <c r="BF122" s="35"/>
      <c r="BG122" s="35"/>
      <c r="BO122" s="35"/>
      <c r="BP122" s="35"/>
      <c r="BW122" s="36"/>
      <c r="BX122" s="36"/>
      <c r="BY122" s="36"/>
      <c r="BZ122" s="36"/>
      <c r="CY122" s="33"/>
    </row>
    <row r="123" spans="2:103" s="32" customFormat="1" x14ac:dyDescent="0.15">
      <c r="B123" s="33"/>
      <c r="E123" s="35"/>
      <c r="H123" s="33"/>
      <c r="N123" s="114"/>
      <c r="O123" s="34"/>
      <c r="P123" s="33"/>
      <c r="Q123" s="33"/>
      <c r="AA123" s="33"/>
      <c r="AB123" s="33"/>
      <c r="AC123" s="33"/>
      <c r="AD123" s="139"/>
      <c r="AE123" s="33"/>
      <c r="AL123" s="35"/>
      <c r="AV123" s="35"/>
      <c r="AW123" s="35"/>
      <c r="AX123" s="35"/>
      <c r="AY123" s="36"/>
      <c r="BF123" s="35"/>
      <c r="BG123" s="35"/>
      <c r="BO123" s="35"/>
      <c r="BP123" s="35"/>
      <c r="BW123" s="36"/>
      <c r="BX123" s="36"/>
      <c r="BY123" s="36"/>
      <c r="BZ123" s="36"/>
      <c r="CY123" s="33"/>
    </row>
    <row r="124" spans="2:103" s="32" customFormat="1" x14ac:dyDescent="0.15">
      <c r="B124" s="33"/>
      <c r="E124" s="35"/>
      <c r="H124" s="33"/>
      <c r="N124" s="114"/>
      <c r="O124" s="34"/>
      <c r="P124" s="33"/>
      <c r="Q124" s="33"/>
      <c r="AA124" s="33"/>
      <c r="AB124" s="33"/>
      <c r="AC124" s="33"/>
      <c r="AD124" s="139"/>
      <c r="AE124" s="33"/>
      <c r="AL124" s="35"/>
      <c r="AV124" s="35"/>
      <c r="AW124" s="35"/>
      <c r="AX124" s="35"/>
      <c r="AY124" s="36"/>
      <c r="BF124" s="35"/>
      <c r="BG124" s="35"/>
      <c r="BO124" s="35"/>
      <c r="BP124" s="35"/>
      <c r="BW124" s="36"/>
      <c r="BX124" s="36"/>
      <c r="BY124" s="36"/>
      <c r="BZ124" s="36"/>
      <c r="CY124" s="33"/>
    </row>
    <row r="125" spans="2:103" s="32" customFormat="1" x14ac:dyDescent="0.15">
      <c r="B125" s="33"/>
      <c r="E125" s="35"/>
      <c r="H125" s="33"/>
      <c r="N125" s="114"/>
      <c r="O125" s="34"/>
      <c r="P125" s="33"/>
      <c r="Q125" s="33"/>
      <c r="AA125" s="33"/>
      <c r="AB125" s="33"/>
      <c r="AC125" s="33"/>
      <c r="AD125" s="139"/>
      <c r="AE125" s="33"/>
      <c r="AL125" s="35"/>
      <c r="AV125" s="35"/>
      <c r="AW125" s="35"/>
      <c r="AX125" s="35"/>
      <c r="AY125" s="36"/>
      <c r="BF125" s="35"/>
      <c r="BG125" s="35"/>
      <c r="BO125" s="35"/>
      <c r="BP125" s="35"/>
      <c r="BW125" s="36"/>
      <c r="BX125" s="36"/>
      <c r="BY125" s="36"/>
      <c r="BZ125" s="36"/>
      <c r="CY125" s="33"/>
    </row>
    <row r="126" spans="2:103" s="32" customFormat="1" x14ac:dyDescent="0.15">
      <c r="B126" s="33"/>
      <c r="E126" s="35"/>
      <c r="H126" s="33"/>
      <c r="N126" s="114"/>
      <c r="O126" s="34"/>
      <c r="P126" s="33"/>
      <c r="Q126" s="33"/>
      <c r="AA126" s="33"/>
      <c r="AB126" s="33"/>
      <c r="AC126" s="33"/>
      <c r="AD126" s="139"/>
      <c r="AE126" s="33"/>
      <c r="AL126" s="35"/>
      <c r="AV126" s="35"/>
      <c r="AW126" s="35"/>
      <c r="AX126" s="35"/>
      <c r="AY126" s="36"/>
      <c r="BF126" s="35"/>
      <c r="BG126" s="35"/>
      <c r="BO126" s="35"/>
      <c r="BP126" s="35"/>
      <c r="BW126" s="36"/>
      <c r="BX126" s="36"/>
      <c r="BY126" s="36"/>
      <c r="BZ126" s="36"/>
      <c r="CY126" s="33"/>
    </row>
    <row r="127" spans="2:103" s="32" customFormat="1" x14ac:dyDescent="0.15">
      <c r="B127" s="33"/>
      <c r="E127" s="35"/>
      <c r="H127" s="33"/>
      <c r="N127" s="114"/>
      <c r="O127" s="34"/>
      <c r="P127" s="33"/>
      <c r="Q127" s="33"/>
      <c r="AA127" s="33"/>
      <c r="AB127" s="33"/>
      <c r="AC127" s="33"/>
      <c r="AD127" s="139"/>
      <c r="AE127" s="33"/>
      <c r="AL127" s="35"/>
      <c r="AV127" s="35"/>
      <c r="AW127" s="35"/>
      <c r="AX127" s="35"/>
      <c r="AY127" s="36"/>
      <c r="BF127" s="35"/>
      <c r="BG127" s="35"/>
      <c r="BO127" s="35"/>
      <c r="BP127" s="35"/>
      <c r="BW127" s="36"/>
      <c r="BX127" s="36"/>
      <c r="BY127" s="36"/>
      <c r="BZ127" s="36"/>
      <c r="CY127" s="33"/>
    </row>
    <row r="128" spans="2:103" s="32" customFormat="1" x14ac:dyDescent="0.15">
      <c r="B128" s="33"/>
      <c r="E128" s="35"/>
      <c r="H128" s="33"/>
      <c r="N128" s="114"/>
      <c r="O128" s="34"/>
      <c r="P128" s="33"/>
      <c r="Q128" s="33"/>
      <c r="AA128" s="33"/>
      <c r="AB128" s="33"/>
      <c r="AC128" s="33"/>
      <c r="AD128" s="139"/>
      <c r="AE128" s="33"/>
      <c r="AL128" s="35"/>
      <c r="AV128" s="35"/>
      <c r="AW128" s="35"/>
      <c r="AX128" s="35"/>
      <c r="AY128" s="36"/>
      <c r="BF128" s="35"/>
      <c r="BG128" s="35"/>
      <c r="BO128" s="35"/>
      <c r="BP128" s="35"/>
      <c r="BW128" s="36"/>
      <c r="BX128" s="36"/>
      <c r="BY128" s="36"/>
      <c r="BZ128" s="36"/>
      <c r="CY128" s="33"/>
    </row>
    <row r="129" spans="2:103" s="32" customFormat="1" x14ac:dyDescent="0.15">
      <c r="B129" s="33"/>
      <c r="E129" s="35"/>
      <c r="H129" s="33"/>
      <c r="N129" s="114"/>
      <c r="O129" s="34"/>
      <c r="P129" s="33"/>
      <c r="Q129" s="33"/>
      <c r="AA129" s="33"/>
      <c r="AB129" s="33"/>
      <c r="AC129" s="33"/>
      <c r="AD129" s="139"/>
      <c r="AE129" s="33"/>
      <c r="AL129" s="35"/>
      <c r="AV129" s="35"/>
      <c r="AW129" s="35"/>
      <c r="AX129" s="35"/>
      <c r="AY129" s="36"/>
      <c r="BF129" s="35"/>
      <c r="BG129" s="35"/>
      <c r="BO129" s="35"/>
      <c r="BP129" s="35"/>
      <c r="BW129" s="36"/>
      <c r="BX129" s="36"/>
      <c r="BY129" s="36"/>
      <c r="BZ129" s="36"/>
      <c r="CY129" s="33"/>
    </row>
    <row r="130" spans="2:103" s="32" customFormat="1" x14ac:dyDescent="0.15">
      <c r="B130" s="33"/>
      <c r="E130" s="35"/>
      <c r="H130" s="33"/>
      <c r="N130" s="114"/>
      <c r="O130" s="34"/>
      <c r="P130" s="33"/>
      <c r="Q130" s="33"/>
      <c r="AA130" s="33"/>
      <c r="AB130" s="33"/>
      <c r="AC130" s="33"/>
      <c r="AD130" s="139"/>
      <c r="AE130" s="33"/>
      <c r="AL130" s="35"/>
      <c r="AV130" s="35"/>
      <c r="AW130" s="35"/>
      <c r="AX130" s="35"/>
      <c r="AY130" s="36"/>
      <c r="BF130" s="35"/>
      <c r="BG130" s="35"/>
      <c r="BO130" s="35"/>
      <c r="BP130" s="35"/>
      <c r="BW130" s="36"/>
      <c r="BX130" s="36"/>
      <c r="BY130" s="36"/>
      <c r="BZ130" s="36"/>
      <c r="CY130" s="33"/>
    </row>
    <row r="131" spans="2:103" s="32" customFormat="1" x14ac:dyDescent="0.15">
      <c r="B131" s="33"/>
      <c r="E131" s="35"/>
      <c r="H131" s="33"/>
      <c r="N131" s="114"/>
      <c r="O131" s="34"/>
      <c r="P131" s="33"/>
      <c r="Q131" s="33"/>
      <c r="AA131" s="33"/>
      <c r="AB131" s="33"/>
      <c r="AC131" s="33"/>
      <c r="AD131" s="139"/>
      <c r="AE131" s="33"/>
      <c r="AL131" s="35"/>
      <c r="AV131" s="35"/>
      <c r="AW131" s="35"/>
      <c r="AX131" s="35"/>
      <c r="AY131" s="36"/>
      <c r="BF131" s="35"/>
      <c r="BG131" s="35"/>
      <c r="BO131" s="35"/>
      <c r="BP131" s="35"/>
      <c r="BW131" s="36"/>
      <c r="BX131" s="36"/>
      <c r="BY131" s="36"/>
      <c r="BZ131" s="36"/>
      <c r="CY131" s="33"/>
    </row>
    <row r="132" spans="2:103" s="32" customFormat="1" x14ac:dyDescent="0.15">
      <c r="B132" s="33"/>
      <c r="E132" s="35"/>
      <c r="H132" s="33"/>
      <c r="N132" s="114"/>
      <c r="O132" s="34"/>
      <c r="P132" s="33"/>
      <c r="Q132" s="33"/>
      <c r="AA132" s="33"/>
      <c r="AB132" s="33"/>
      <c r="AC132" s="33"/>
      <c r="AD132" s="139"/>
      <c r="AE132" s="33"/>
      <c r="AL132" s="35"/>
      <c r="AV132" s="35"/>
      <c r="AW132" s="35"/>
      <c r="AX132" s="35"/>
      <c r="AY132" s="36"/>
      <c r="BF132" s="35"/>
      <c r="BG132" s="35"/>
      <c r="BO132" s="35"/>
      <c r="BP132" s="35"/>
      <c r="BW132" s="36"/>
      <c r="BX132" s="36"/>
      <c r="BY132" s="36"/>
      <c r="BZ132" s="36"/>
      <c r="CY132" s="33"/>
    </row>
    <row r="133" spans="2:103" s="32" customFormat="1" x14ac:dyDescent="0.15">
      <c r="B133" s="33"/>
      <c r="E133" s="35"/>
      <c r="H133" s="33"/>
      <c r="N133" s="114"/>
      <c r="O133" s="34"/>
      <c r="P133" s="33"/>
      <c r="Q133" s="33"/>
      <c r="AA133" s="33"/>
      <c r="AB133" s="33"/>
      <c r="AC133" s="33"/>
      <c r="AD133" s="139"/>
      <c r="AE133" s="33"/>
      <c r="AL133" s="35"/>
      <c r="AV133" s="35"/>
      <c r="AW133" s="35"/>
      <c r="AX133" s="35"/>
      <c r="AY133" s="36"/>
      <c r="BF133" s="35"/>
      <c r="BG133" s="35"/>
      <c r="BO133" s="35"/>
      <c r="BP133" s="35"/>
      <c r="BW133" s="36"/>
      <c r="BX133" s="36"/>
      <c r="BY133" s="36"/>
      <c r="BZ133" s="36"/>
      <c r="CY133" s="33"/>
    </row>
    <row r="134" spans="2:103" s="32" customFormat="1" x14ac:dyDescent="0.15">
      <c r="B134" s="33"/>
      <c r="E134" s="35"/>
      <c r="H134" s="33"/>
      <c r="N134" s="114"/>
      <c r="O134" s="34"/>
      <c r="P134" s="33"/>
      <c r="Q134" s="33"/>
      <c r="AA134" s="33"/>
      <c r="AB134" s="33"/>
      <c r="AC134" s="33"/>
      <c r="AD134" s="139"/>
      <c r="AE134" s="33"/>
      <c r="AL134" s="35"/>
      <c r="AV134" s="35"/>
      <c r="AW134" s="35"/>
      <c r="AX134" s="35"/>
      <c r="AY134" s="36"/>
      <c r="BF134" s="35"/>
      <c r="BG134" s="35"/>
      <c r="BO134" s="35"/>
      <c r="BP134" s="35"/>
      <c r="BW134" s="36"/>
      <c r="BX134" s="36"/>
      <c r="BY134" s="36"/>
      <c r="BZ134" s="36"/>
      <c r="CY134" s="33"/>
    </row>
    <row r="135" spans="2:103" s="32" customFormat="1" x14ac:dyDescent="0.15">
      <c r="B135" s="33"/>
      <c r="E135" s="35"/>
      <c r="H135" s="33"/>
      <c r="N135" s="114"/>
      <c r="O135" s="34"/>
      <c r="P135" s="33"/>
      <c r="Q135" s="33"/>
      <c r="AA135" s="33"/>
      <c r="AB135" s="33"/>
      <c r="AC135" s="33"/>
      <c r="AD135" s="139"/>
      <c r="AE135" s="33"/>
      <c r="AL135" s="35"/>
      <c r="AV135" s="35"/>
      <c r="AW135" s="35"/>
      <c r="AX135" s="35"/>
      <c r="AY135" s="36"/>
      <c r="BF135" s="35"/>
      <c r="BG135" s="35"/>
      <c r="BO135" s="35"/>
      <c r="BP135" s="35"/>
      <c r="BW135" s="36"/>
      <c r="BX135" s="36"/>
      <c r="BY135" s="36"/>
      <c r="BZ135" s="36"/>
      <c r="CY135" s="33"/>
    </row>
    <row r="136" spans="2:103" s="32" customFormat="1" x14ac:dyDescent="0.15">
      <c r="B136" s="33"/>
      <c r="E136" s="35"/>
      <c r="H136" s="33"/>
      <c r="N136" s="114"/>
      <c r="O136" s="34"/>
      <c r="P136" s="33"/>
      <c r="Q136" s="33"/>
      <c r="AA136" s="33"/>
      <c r="AB136" s="33"/>
      <c r="AC136" s="33"/>
      <c r="AD136" s="139"/>
      <c r="AE136" s="33"/>
      <c r="AL136" s="35"/>
      <c r="AV136" s="35"/>
      <c r="AW136" s="35"/>
      <c r="AX136" s="35"/>
      <c r="AY136" s="36"/>
      <c r="BF136" s="35"/>
      <c r="BG136" s="35"/>
      <c r="BO136" s="35"/>
      <c r="BP136" s="35"/>
      <c r="BW136" s="36"/>
      <c r="BX136" s="36"/>
      <c r="BY136" s="36"/>
      <c r="BZ136" s="36"/>
      <c r="CY136" s="33"/>
    </row>
    <row r="137" spans="2:103" s="32" customFormat="1" x14ac:dyDescent="0.15">
      <c r="B137" s="33"/>
      <c r="E137" s="35"/>
      <c r="H137" s="33"/>
      <c r="N137" s="114"/>
      <c r="O137" s="34"/>
      <c r="P137" s="33"/>
      <c r="Q137" s="33"/>
      <c r="AA137" s="33"/>
      <c r="AB137" s="33"/>
      <c r="AC137" s="33"/>
      <c r="AD137" s="139"/>
      <c r="AE137" s="33"/>
      <c r="AL137" s="35"/>
      <c r="AV137" s="35"/>
      <c r="AW137" s="35"/>
      <c r="AX137" s="35"/>
      <c r="AY137" s="36"/>
      <c r="BF137" s="35"/>
      <c r="BG137" s="35"/>
      <c r="BO137" s="35"/>
      <c r="BP137" s="35"/>
      <c r="BW137" s="36"/>
      <c r="BX137" s="36"/>
      <c r="BY137" s="36"/>
      <c r="BZ137" s="36"/>
      <c r="CY137" s="33"/>
    </row>
    <row r="138" spans="2:103" s="32" customFormat="1" x14ac:dyDescent="0.15">
      <c r="B138" s="33"/>
      <c r="E138" s="35"/>
      <c r="H138" s="33"/>
      <c r="N138" s="114"/>
      <c r="O138" s="34"/>
      <c r="P138" s="33"/>
      <c r="Q138" s="33"/>
      <c r="AA138" s="33"/>
      <c r="AB138" s="33"/>
      <c r="AC138" s="33"/>
      <c r="AD138" s="139"/>
      <c r="AE138" s="33"/>
      <c r="AL138" s="35"/>
      <c r="AV138" s="35"/>
      <c r="AW138" s="35"/>
      <c r="AX138" s="35"/>
      <c r="AY138" s="36"/>
      <c r="BF138" s="35"/>
      <c r="BG138" s="35"/>
      <c r="BO138" s="35"/>
      <c r="BP138" s="35"/>
      <c r="BW138" s="36"/>
      <c r="BX138" s="36"/>
      <c r="BY138" s="36"/>
      <c r="BZ138" s="36"/>
      <c r="CY138" s="33"/>
    </row>
    <row r="139" spans="2:103" s="32" customFormat="1" x14ac:dyDescent="0.15">
      <c r="B139" s="33"/>
      <c r="E139" s="35"/>
      <c r="H139" s="33"/>
      <c r="N139" s="114"/>
      <c r="O139" s="34"/>
      <c r="P139" s="33"/>
      <c r="Q139" s="33"/>
      <c r="AA139" s="33"/>
      <c r="AB139" s="33"/>
      <c r="AC139" s="33"/>
      <c r="AD139" s="139"/>
      <c r="AE139" s="33"/>
      <c r="AL139" s="35"/>
      <c r="AV139" s="35"/>
      <c r="AW139" s="35"/>
      <c r="AX139" s="35"/>
      <c r="AY139" s="36"/>
      <c r="BF139" s="35"/>
      <c r="BG139" s="35"/>
      <c r="BO139" s="35"/>
      <c r="BP139" s="35"/>
      <c r="BW139" s="36"/>
      <c r="BX139" s="36"/>
      <c r="BY139" s="36"/>
      <c r="BZ139" s="36"/>
      <c r="CY139" s="33"/>
    </row>
    <row r="140" spans="2:103" s="32" customFormat="1" x14ac:dyDescent="0.15">
      <c r="B140" s="33"/>
      <c r="E140" s="35"/>
      <c r="H140" s="33"/>
      <c r="N140" s="114"/>
      <c r="O140" s="34"/>
      <c r="P140" s="33"/>
      <c r="Q140" s="33"/>
      <c r="AA140" s="33"/>
      <c r="AB140" s="33"/>
      <c r="AC140" s="33"/>
      <c r="AD140" s="139"/>
      <c r="AE140" s="33"/>
      <c r="AL140" s="35"/>
      <c r="AV140" s="35"/>
      <c r="AW140" s="35"/>
      <c r="AX140" s="35"/>
      <c r="AY140" s="36"/>
      <c r="BF140" s="35"/>
      <c r="BG140" s="35"/>
      <c r="BO140" s="35"/>
      <c r="BP140" s="35"/>
      <c r="BW140" s="36"/>
      <c r="BX140" s="36"/>
      <c r="BY140" s="36"/>
      <c r="BZ140" s="36"/>
      <c r="CY140" s="33"/>
    </row>
    <row r="141" spans="2:103" s="32" customFormat="1" x14ac:dyDescent="0.15">
      <c r="B141" s="33"/>
      <c r="E141" s="35"/>
      <c r="H141" s="33"/>
      <c r="N141" s="114"/>
      <c r="O141" s="34"/>
      <c r="P141" s="33"/>
      <c r="Q141" s="33"/>
      <c r="AA141" s="33"/>
      <c r="AB141" s="33"/>
      <c r="AC141" s="33"/>
      <c r="AD141" s="139"/>
      <c r="AE141" s="33"/>
      <c r="AL141" s="35"/>
      <c r="AV141" s="35"/>
      <c r="AW141" s="35"/>
      <c r="AX141" s="35"/>
      <c r="AY141" s="36"/>
      <c r="BF141" s="35"/>
      <c r="BG141" s="35"/>
      <c r="BO141" s="35"/>
      <c r="BP141" s="35"/>
      <c r="BW141" s="36"/>
      <c r="BX141" s="36"/>
      <c r="BY141" s="36"/>
      <c r="BZ141" s="36"/>
      <c r="CY141" s="33"/>
    </row>
    <row r="142" spans="2:103" s="32" customFormat="1" x14ac:dyDescent="0.15">
      <c r="B142" s="33"/>
      <c r="E142" s="35"/>
      <c r="H142" s="33"/>
      <c r="N142" s="114"/>
      <c r="O142" s="34"/>
      <c r="P142" s="33"/>
      <c r="Q142" s="33"/>
      <c r="AA142" s="33"/>
      <c r="AB142" s="33"/>
      <c r="AC142" s="33"/>
      <c r="AD142" s="139"/>
      <c r="AE142" s="33"/>
      <c r="AL142" s="35"/>
      <c r="AV142" s="35"/>
      <c r="AW142" s="35"/>
      <c r="AX142" s="35"/>
      <c r="AY142" s="36"/>
      <c r="BF142" s="35"/>
      <c r="BG142" s="35"/>
      <c r="BO142" s="35"/>
      <c r="BP142" s="35"/>
      <c r="BW142" s="36"/>
      <c r="BX142" s="36"/>
      <c r="BY142" s="36"/>
      <c r="BZ142" s="36"/>
      <c r="CY142" s="33"/>
    </row>
    <row r="143" spans="2:103" s="32" customFormat="1" x14ac:dyDescent="0.15">
      <c r="B143" s="33"/>
      <c r="E143" s="35"/>
      <c r="H143" s="33"/>
      <c r="N143" s="114"/>
      <c r="O143" s="34"/>
      <c r="P143" s="33"/>
      <c r="Q143" s="33"/>
      <c r="AA143" s="33"/>
      <c r="AB143" s="33"/>
      <c r="AC143" s="33"/>
      <c r="AD143" s="139"/>
      <c r="AE143" s="33"/>
      <c r="AL143" s="35"/>
      <c r="AV143" s="35"/>
      <c r="AW143" s="35"/>
      <c r="AX143" s="35"/>
      <c r="AY143" s="36"/>
      <c r="BF143" s="35"/>
      <c r="BG143" s="35"/>
      <c r="BO143" s="35"/>
      <c r="BP143" s="35"/>
      <c r="BW143" s="36"/>
      <c r="BX143" s="36"/>
      <c r="BY143" s="36"/>
      <c r="BZ143" s="36"/>
      <c r="CY143" s="33"/>
    </row>
    <row r="144" spans="2:103" s="32" customFormat="1" x14ac:dyDescent="0.15">
      <c r="B144" s="33"/>
      <c r="E144" s="35"/>
      <c r="H144" s="33"/>
      <c r="N144" s="114"/>
      <c r="O144" s="34"/>
      <c r="P144" s="33"/>
      <c r="Q144" s="33"/>
      <c r="AA144" s="33"/>
      <c r="AB144" s="33"/>
      <c r="AC144" s="33"/>
      <c r="AD144" s="139"/>
      <c r="AE144" s="33"/>
      <c r="AL144" s="35"/>
      <c r="AV144" s="35"/>
      <c r="AW144" s="35"/>
      <c r="AX144" s="35"/>
      <c r="AY144" s="36"/>
      <c r="BF144" s="35"/>
      <c r="BG144" s="35"/>
      <c r="BO144" s="35"/>
      <c r="BP144" s="35"/>
      <c r="BW144" s="36"/>
      <c r="BX144" s="36"/>
      <c r="BY144" s="36"/>
      <c r="BZ144" s="36"/>
      <c r="CY144" s="33"/>
    </row>
    <row r="145" spans="2:103" s="32" customFormat="1" x14ac:dyDescent="0.15">
      <c r="B145" s="33"/>
      <c r="E145" s="35"/>
      <c r="H145" s="33"/>
      <c r="N145" s="114"/>
      <c r="O145" s="34"/>
      <c r="P145" s="33"/>
      <c r="Q145" s="33"/>
      <c r="AA145" s="33"/>
      <c r="AB145" s="33"/>
      <c r="AC145" s="33"/>
      <c r="AD145" s="139"/>
      <c r="AE145" s="33"/>
      <c r="AL145" s="35"/>
      <c r="AV145" s="35"/>
      <c r="AW145" s="35"/>
      <c r="AX145" s="35"/>
      <c r="AY145" s="36"/>
      <c r="BF145" s="35"/>
      <c r="BG145" s="35"/>
      <c r="BO145" s="35"/>
      <c r="BP145" s="35"/>
      <c r="BW145" s="36"/>
      <c r="BX145" s="36"/>
      <c r="BY145" s="36"/>
      <c r="BZ145" s="36"/>
      <c r="CY145" s="33"/>
    </row>
    <row r="146" spans="2:103" s="32" customFormat="1" x14ac:dyDescent="0.15">
      <c r="B146" s="33"/>
      <c r="E146" s="35"/>
      <c r="H146" s="33"/>
      <c r="N146" s="114"/>
      <c r="O146" s="34"/>
      <c r="P146" s="33"/>
      <c r="Q146" s="33"/>
      <c r="AA146" s="33"/>
      <c r="AB146" s="33"/>
      <c r="AC146" s="33"/>
      <c r="AD146" s="139"/>
      <c r="AE146" s="33"/>
      <c r="AL146" s="35"/>
      <c r="AV146" s="35"/>
      <c r="AW146" s="35"/>
      <c r="AX146" s="35"/>
      <c r="AY146" s="36"/>
      <c r="BF146" s="35"/>
      <c r="BG146" s="35"/>
      <c r="BO146" s="35"/>
      <c r="BP146" s="35"/>
      <c r="BW146" s="36"/>
      <c r="BX146" s="36"/>
      <c r="BY146" s="36"/>
      <c r="BZ146" s="36"/>
      <c r="CY146" s="33"/>
    </row>
    <row r="147" spans="2:103" s="32" customFormat="1" x14ac:dyDescent="0.15">
      <c r="B147" s="33"/>
      <c r="E147" s="35"/>
      <c r="H147" s="33"/>
      <c r="N147" s="114"/>
      <c r="O147" s="34"/>
      <c r="P147" s="33"/>
      <c r="Q147" s="33"/>
      <c r="AA147" s="33"/>
      <c r="AB147" s="33"/>
      <c r="AC147" s="33"/>
      <c r="AD147" s="139"/>
      <c r="AE147" s="33"/>
      <c r="AL147" s="35"/>
      <c r="AV147" s="35"/>
      <c r="AW147" s="35"/>
      <c r="AX147" s="35"/>
      <c r="AY147" s="36"/>
      <c r="BF147" s="35"/>
      <c r="BG147" s="35"/>
      <c r="BO147" s="35"/>
      <c r="BP147" s="35"/>
      <c r="BW147" s="36"/>
      <c r="BX147" s="36"/>
      <c r="BY147" s="36"/>
      <c r="BZ147" s="36"/>
      <c r="CY147" s="33"/>
    </row>
    <row r="148" spans="2:103" s="32" customFormat="1" x14ac:dyDescent="0.15">
      <c r="B148" s="33"/>
      <c r="E148" s="35"/>
      <c r="H148" s="33"/>
      <c r="N148" s="114"/>
      <c r="O148" s="34"/>
      <c r="P148" s="33"/>
      <c r="Q148" s="33"/>
      <c r="AA148" s="33"/>
      <c r="AB148" s="33"/>
      <c r="AC148" s="33"/>
      <c r="AD148" s="139"/>
      <c r="AE148" s="33"/>
      <c r="AL148" s="35"/>
      <c r="AV148" s="35"/>
      <c r="AW148" s="35"/>
      <c r="AX148" s="35"/>
      <c r="AY148" s="36"/>
      <c r="BF148" s="35"/>
      <c r="BG148" s="35"/>
      <c r="BO148" s="35"/>
      <c r="BP148" s="35"/>
      <c r="BW148" s="36"/>
      <c r="BX148" s="36"/>
      <c r="BY148" s="36"/>
      <c r="BZ148" s="36"/>
      <c r="CY148" s="33"/>
    </row>
    <row r="149" spans="2:103" s="32" customFormat="1" x14ac:dyDescent="0.15">
      <c r="B149" s="33"/>
      <c r="E149" s="35"/>
      <c r="H149" s="33"/>
      <c r="N149" s="114"/>
      <c r="O149" s="34"/>
      <c r="P149" s="33"/>
      <c r="Q149" s="33"/>
      <c r="AA149" s="33"/>
      <c r="AB149" s="33"/>
      <c r="AC149" s="33"/>
      <c r="AD149" s="139"/>
      <c r="AE149" s="33"/>
      <c r="AL149" s="35"/>
      <c r="AV149" s="35"/>
      <c r="AW149" s="35"/>
      <c r="AX149" s="35"/>
      <c r="AY149" s="36"/>
      <c r="BF149" s="35"/>
      <c r="BG149" s="35"/>
      <c r="BO149" s="35"/>
      <c r="BP149" s="35"/>
      <c r="BW149" s="36"/>
      <c r="BX149" s="36"/>
      <c r="BY149" s="36"/>
      <c r="BZ149" s="36"/>
      <c r="CY149" s="33"/>
    </row>
    <row r="150" spans="2:103" s="32" customFormat="1" x14ac:dyDescent="0.15">
      <c r="B150" s="33"/>
      <c r="E150" s="35"/>
      <c r="H150" s="33"/>
      <c r="N150" s="114"/>
      <c r="O150" s="34"/>
      <c r="P150" s="33"/>
      <c r="Q150" s="33"/>
      <c r="AA150" s="33"/>
      <c r="AB150" s="33"/>
      <c r="AC150" s="33"/>
      <c r="AD150" s="139"/>
      <c r="AE150" s="33"/>
      <c r="AL150" s="35"/>
      <c r="AV150" s="35"/>
      <c r="AW150" s="35"/>
      <c r="AX150" s="35"/>
      <c r="AY150" s="36"/>
      <c r="BF150" s="35"/>
      <c r="BG150" s="35"/>
      <c r="BO150" s="35"/>
      <c r="BP150" s="35"/>
      <c r="BW150" s="36"/>
      <c r="BX150" s="36"/>
      <c r="BY150" s="36"/>
      <c r="BZ150" s="36"/>
      <c r="CY150" s="33"/>
    </row>
    <row r="151" spans="2:103" s="32" customFormat="1" x14ac:dyDescent="0.15">
      <c r="B151" s="33"/>
      <c r="E151" s="35"/>
      <c r="H151" s="33"/>
      <c r="N151" s="114"/>
      <c r="O151" s="34"/>
      <c r="P151" s="33"/>
      <c r="Q151" s="33"/>
      <c r="AA151" s="33"/>
      <c r="AB151" s="33"/>
      <c r="AC151" s="33"/>
      <c r="AD151" s="139"/>
      <c r="AE151" s="33"/>
      <c r="AL151" s="35"/>
      <c r="AV151" s="35"/>
      <c r="AW151" s="35"/>
      <c r="AX151" s="35"/>
      <c r="AY151" s="36"/>
      <c r="BF151" s="35"/>
      <c r="BG151" s="35"/>
      <c r="BO151" s="35"/>
      <c r="BP151" s="35"/>
      <c r="BW151" s="36"/>
      <c r="BX151" s="36"/>
      <c r="BY151" s="36"/>
      <c r="BZ151" s="36"/>
      <c r="CY151" s="33"/>
    </row>
    <row r="152" spans="2:103" s="32" customFormat="1" x14ac:dyDescent="0.15">
      <c r="B152" s="33"/>
      <c r="E152" s="35"/>
      <c r="H152" s="33"/>
      <c r="N152" s="114"/>
      <c r="O152" s="34"/>
      <c r="P152" s="33"/>
      <c r="Q152" s="33"/>
      <c r="AA152" s="33"/>
      <c r="AB152" s="33"/>
      <c r="AC152" s="33"/>
      <c r="AD152" s="139"/>
      <c r="AE152" s="33"/>
      <c r="AL152" s="35"/>
      <c r="AV152" s="35"/>
      <c r="AW152" s="35"/>
      <c r="AX152" s="35"/>
      <c r="AY152" s="36"/>
      <c r="BF152" s="35"/>
      <c r="BG152" s="35"/>
      <c r="BO152" s="35"/>
      <c r="BP152" s="35"/>
      <c r="BW152" s="36"/>
      <c r="BX152" s="36"/>
      <c r="BY152" s="36"/>
      <c r="BZ152" s="36"/>
      <c r="CY152" s="33"/>
    </row>
    <row r="153" spans="2:103" s="32" customFormat="1" x14ac:dyDescent="0.15">
      <c r="B153" s="33"/>
      <c r="E153" s="35"/>
      <c r="H153" s="33"/>
      <c r="N153" s="114"/>
      <c r="O153" s="34"/>
      <c r="P153" s="33"/>
      <c r="Q153" s="33"/>
      <c r="AA153" s="33"/>
      <c r="AB153" s="33"/>
      <c r="AC153" s="33"/>
      <c r="AD153" s="139"/>
      <c r="AE153" s="33"/>
      <c r="AL153" s="35"/>
      <c r="AV153" s="35"/>
      <c r="AW153" s="35"/>
      <c r="AX153" s="35"/>
      <c r="AY153" s="36"/>
      <c r="BF153" s="35"/>
      <c r="BG153" s="35"/>
      <c r="BO153" s="35"/>
      <c r="BP153" s="35"/>
      <c r="BW153" s="36"/>
      <c r="BX153" s="36"/>
      <c r="BY153" s="36"/>
      <c r="BZ153" s="36"/>
      <c r="CY153" s="33"/>
    </row>
    <row r="154" spans="2:103" s="32" customFormat="1" x14ac:dyDescent="0.15">
      <c r="B154" s="33"/>
      <c r="E154" s="35"/>
      <c r="H154" s="33"/>
      <c r="N154" s="114"/>
      <c r="O154" s="34"/>
      <c r="P154" s="33"/>
      <c r="Q154" s="33"/>
      <c r="AA154" s="33"/>
      <c r="AB154" s="33"/>
      <c r="AC154" s="33"/>
      <c r="AD154" s="139"/>
      <c r="AE154" s="33"/>
      <c r="AL154" s="35"/>
      <c r="AV154" s="35"/>
      <c r="AW154" s="35"/>
      <c r="AX154" s="35"/>
      <c r="AY154" s="36"/>
      <c r="BF154" s="35"/>
      <c r="BG154" s="35"/>
      <c r="BO154" s="35"/>
      <c r="BP154" s="35"/>
      <c r="BW154" s="36"/>
      <c r="BX154" s="36"/>
      <c r="BY154" s="36"/>
      <c r="BZ154" s="36"/>
      <c r="CY154" s="33"/>
    </row>
    <row r="155" spans="2:103" s="32" customFormat="1" x14ac:dyDescent="0.15">
      <c r="B155" s="33"/>
      <c r="E155" s="35"/>
      <c r="H155" s="33"/>
      <c r="N155" s="114"/>
      <c r="O155" s="34"/>
      <c r="P155" s="33"/>
      <c r="Q155" s="33"/>
      <c r="AA155" s="33"/>
      <c r="AB155" s="33"/>
      <c r="AC155" s="33"/>
      <c r="AD155" s="139"/>
      <c r="AE155" s="33"/>
      <c r="AL155" s="35"/>
      <c r="AV155" s="35"/>
      <c r="AW155" s="35"/>
      <c r="AX155" s="35"/>
      <c r="AY155" s="36"/>
      <c r="BF155" s="35"/>
      <c r="BG155" s="35"/>
      <c r="BO155" s="35"/>
      <c r="BP155" s="35"/>
      <c r="BW155" s="36"/>
      <c r="BX155" s="36"/>
      <c r="BY155" s="36"/>
      <c r="BZ155" s="36"/>
      <c r="CY155" s="33"/>
    </row>
    <row r="156" spans="2:103" s="32" customFormat="1" x14ac:dyDescent="0.15">
      <c r="B156" s="33"/>
      <c r="E156" s="35"/>
      <c r="H156" s="33"/>
      <c r="N156" s="114"/>
      <c r="O156" s="34"/>
      <c r="P156" s="33"/>
      <c r="Q156" s="33"/>
      <c r="AA156" s="33"/>
      <c r="AB156" s="33"/>
      <c r="AC156" s="33"/>
      <c r="AD156" s="139"/>
      <c r="AE156" s="33"/>
      <c r="AL156" s="35"/>
      <c r="AV156" s="35"/>
      <c r="AW156" s="35"/>
      <c r="AX156" s="35"/>
      <c r="AY156" s="36"/>
      <c r="BF156" s="35"/>
      <c r="BG156" s="35"/>
      <c r="BO156" s="35"/>
      <c r="BP156" s="35"/>
      <c r="BW156" s="36"/>
      <c r="BX156" s="36"/>
      <c r="BY156" s="36"/>
      <c r="BZ156" s="36"/>
      <c r="CY156" s="33"/>
    </row>
    <row r="157" spans="2:103" s="32" customFormat="1" x14ac:dyDescent="0.15">
      <c r="B157" s="33"/>
      <c r="E157" s="35"/>
      <c r="H157" s="33"/>
      <c r="N157" s="114"/>
      <c r="O157" s="34"/>
      <c r="P157" s="33"/>
      <c r="Q157" s="33"/>
      <c r="AA157" s="33"/>
      <c r="AB157" s="33"/>
      <c r="AC157" s="33"/>
      <c r="AD157" s="139"/>
      <c r="AE157" s="33"/>
      <c r="AL157" s="35"/>
      <c r="AV157" s="35"/>
      <c r="AW157" s="35"/>
      <c r="AX157" s="35"/>
      <c r="AY157" s="36"/>
      <c r="BF157" s="35"/>
      <c r="BG157" s="35"/>
      <c r="BO157" s="35"/>
      <c r="BP157" s="35"/>
      <c r="BW157" s="36"/>
      <c r="BX157" s="36"/>
      <c r="BY157" s="36"/>
      <c r="BZ157" s="36"/>
      <c r="CY157" s="33"/>
    </row>
    <row r="158" spans="2:103" s="32" customFormat="1" x14ac:dyDescent="0.15">
      <c r="B158" s="33"/>
      <c r="E158" s="35"/>
      <c r="H158" s="33"/>
      <c r="N158" s="114"/>
      <c r="O158" s="34"/>
      <c r="P158" s="33"/>
      <c r="Q158" s="33"/>
      <c r="AA158" s="33"/>
      <c r="AB158" s="33"/>
      <c r="AC158" s="33"/>
      <c r="AD158" s="139"/>
      <c r="AE158" s="33"/>
      <c r="AL158" s="35"/>
      <c r="AV158" s="35"/>
      <c r="AW158" s="35"/>
      <c r="AX158" s="35"/>
      <c r="AY158" s="36"/>
      <c r="BF158" s="35"/>
      <c r="BG158" s="35"/>
      <c r="BO158" s="35"/>
      <c r="BP158" s="35"/>
      <c r="BW158" s="36"/>
      <c r="BX158" s="36"/>
      <c r="BY158" s="36"/>
      <c r="BZ158" s="36"/>
      <c r="CY158" s="33"/>
    </row>
    <row r="159" spans="2:103" s="32" customFormat="1" x14ac:dyDescent="0.15">
      <c r="B159" s="33"/>
      <c r="E159" s="35"/>
      <c r="H159" s="33"/>
      <c r="N159" s="114"/>
      <c r="O159" s="34"/>
      <c r="P159" s="33"/>
      <c r="Q159" s="33"/>
      <c r="AA159" s="33"/>
      <c r="AB159" s="33"/>
      <c r="AC159" s="33"/>
      <c r="AD159" s="139"/>
      <c r="AE159" s="33"/>
      <c r="AL159" s="35"/>
      <c r="AV159" s="35"/>
      <c r="AW159" s="35"/>
      <c r="AX159" s="35"/>
      <c r="AY159" s="36"/>
      <c r="BF159" s="35"/>
      <c r="BG159" s="35"/>
      <c r="BO159" s="35"/>
      <c r="BP159" s="35"/>
      <c r="BW159" s="36"/>
      <c r="BX159" s="36"/>
      <c r="BY159" s="36"/>
      <c r="BZ159" s="36"/>
      <c r="CY159" s="33"/>
    </row>
    <row r="160" spans="2:103" s="32" customFormat="1" x14ac:dyDescent="0.15">
      <c r="B160" s="33"/>
      <c r="E160" s="35"/>
      <c r="H160" s="33"/>
      <c r="N160" s="114"/>
      <c r="O160" s="34"/>
      <c r="P160" s="33"/>
      <c r="Q160" s="33"/>
      <c r="AA160" s="33"/>
      <c r="AB160" s="33"/>
      <c r="AC160" s="33"/>
      <c r="AD160" s="139"/>
      <c r="AE160" s="33"/>
      <c r="AL160" s="35"/>
      <c r="AV160" s="35"/>
      <c r="AW160" s="35"/>
      <c r="AX160" s="35"/>
      <c r="AY160" s="36"/>
      <c r="BF160" s="35"/>
      <c r="BG160" s="35"/>
      <c r="BO160" s="35"/>
      <c r="BP160" s="35"/>
      <c r="BW160" s="36"/>
      <c r="BX160" s="36"/>
      <c r="BY160" s="36"/>
      <c r="BZ160" s="36"/>
      <c r="CY160" s="33"/>
    </row>
    <row r="161" spans="2:103" s="32" customFormat="1" x14ac:dyDescent="0.15">
      <c r="B161" s="33"/>
      <c r="E161" s="35"/>
      <c r="H161" s="33"/>
      <c r="N161" s="114"/>
      <c r="O161" s="34"/>
      <c r="P161" s="33"/>
      <c r="Q161" s="33"/>
      <c r="AA161" s="33"/>
      <c r="AB161" s="33"/>
      <c r="AC161" s="33"/>
      <c r="AD161" s="139"/>
      <c r="AE161" s="33"/>
      <c r="AL161" s="35"/>
      <c r="AV161" s="35"/>
      <c r="AW161" s="35"/>
      <c r="AX161" s="35"/>
      <c r="AY161" s="36"/>
      <c r="BF161" s="35"/>
      <c r="BG161" s="35"/>
      <c r="BO161" s="35"/>
      <c r="BP161" s="35"/>
      <c r="BW161" s="36"/>
      <c r="BX161" s="36"/>
      <c r="BY161" s="36"/>
      <c r="BZ161" s="36"/>
      <c r="CY161" s="33"/>
    </row>
    <row r="162" spans="2:103" s="32" customFormat="1" x14ac:dyDescent="0.15">
      <c r="B162" s="33"/>
      <c r="E162" s="35"/>
      <c r="H162" s="33"/>
      <c r="N162" s="114"/>
      <c r="O162" s="34"/>
      <c r="P162" s="33"/>
      <c r="Q162" s="33"/>
      <c r="AA162" s="33"/>
      <c r="AB162" s="33"/>
      <c r="AC162" s="33"/>
      <c r="AD162" s="139"/>
      <c r="AE162" s="33"/>
      <c r="AL162" s="35"/>
      <c r="AV162" s="35"/>
      <c r="AW162" s="35"/>
      <c r="AX162" s="35"/>
      <c r="AY162" s="36"/>
      <c r="BF162" s="35"/>
      <c r="BG162" s="35"/>
      <c r="BO162" s="35"/>
      <c r="BP162" s="35"/>
      <c r="BW162" s="36"/>
      <c r="BX162" s="36"/>
      <c r="BY162" s="36"/>
      <c r="BZ162" s="36"/>
      <c r="CY162" s="33"/>
    </row>
    <row r="163" spans="2:103" s="32" customFormat="1" x14ac:dyDescent="0.15">
      <c r="B163" s="33"/>
      <c r="E163" s="35"/>
      <c r="H163" s="33"/>
      <c r="N163" s="114"/>
      <c r="O163" s="34"/>
      <c r="P163" s="33"/>
      <c r="Q163" s="33"/>
      <c r="AA163" s="33"/>
      <c r="AB163" s="33"/>
      <c r="AC163" s="33"/>
      <c r="AD163" s="139"/>
      <c r="AE163" s="33"/>
      <c r="AL163" s="35"/>
      <c r="AV163" s="35"/>
      <c r="AW163" s="35"/>
      <c r="AX163" s="35"/>
      <c r="AY163" s="36"/>
      <c r="BF163" s="35"/>
      <c r="BG163" s="35"/>
      <c r="BO163" s="35"/>
      <c r="BP163" s="35"/>
      <c r="BW163" s="36"/>
      <c r="BX163" s="36"/>
      <c r="BY163" s="36"/>
      <c r="BZ163" s="36"/>
      <c r="CY163" s="33"/>
    </row>
    <row r="164" spans="2:103" s="32" customFormat="1" x14ac:dyDescent="0.15">
      <c r="B164" s="33"/>
      <c r="E164" s="35"/>
      <c r="H164" s="33"/>
      <c r="N164" s="114"/>
      <c r="O164" s="34"/>
      <c r="P164" s="33"/>
      <c r="Q164" s="33"/>
      <c r="AA164" s="33"/>
      <c r="AB164" s="33"/>
      <c r="AC164" s="33"/>
      <c r="AD164" s="139"/>
      <c r="AE164" s="33"/>
      <c r="AL164" s="35"/>
      <c r="AV164" s="35"/>
      <c r="AW164" s="35"/>
      <c r="AX164" s="35"/>
      <c r="AY164" s="36"/>
      <c r="BF164" s="35"/>
      <c r="BG164" s="35"/>
      <c r="BO164" s="35"/>
      <c r="BP164" s="35"/>
      <c r="BW164" s="36"/>
      <c r="BX164" s="36"/>
      <c r="BY164" s="36"/>
      <c r="BZ164" s="36"/>
      <c r="CY164" s="33"/>
    </row>
    <row r="165" spans="2:103" s="32" customFormat="1" x14ac:dyDescent="0.15">
      <c r="B165" s="33"/>
      <c r="E165" s="35"/>
      <c r="H165" s="33"/>
      <c r="N165" s="114"/>
      <c r="O165" s="34"/>
      <c r="P165" s="33"/>
      <c r="Q165" s="33"/>
      <c r="AA165" s="33"/>
      <c r="AB165" s="33"/>
      <c r="AC165" s="33"/>
      <c r="AD165" s="139"/>
      <c r="AE165" s="33"/>
      <c r="AL165" s="35"/>
      <c r="AV165" s="35"/>
      <c r="AW165" s="35"/>
      <c r="AX165" s="35"/>
      <c r="AY165" s="36"/>
      <c r="BF165" s="35"/>
      <c r="BG165" s="35"/>
      <c r="BO165" s="35"/>
      <c r="BP165" s="35"/>
      <c r="BW165" s="36"/>
      <c r="BX165" s="36"/>
      <c r="BY165" s="36"/>
      <c r="BZ165" s="36"/>
      <c r="CY165" s="33"/>
    </row>
    <row r="166" spans="2:103" s="32" customFormat="1" x14ac:dyDescent="0.15">
      <c r="B166" s="33"/>
      <c r="E166" s="35"/>
      <c r="H166" s="33"/>
      <c r="N166" s="114"/>
      <c r="O166" s="34"/>
      <c r="P166" s="33"/>
      <c r="Q166" s="33"/>
      <c r="AA166" s="33"/>
      <c r="AB166" s="33"/>
      <c r="AC166" s="33"/>
      <c r="AD166" s="139"/>
      <c r="AE166" s="33"/>
      <c r="AL166" s="35"/>
      <c r="AV166" s="35"/>
      <c r="AW166" s="35"/>
      <c r="AX166" s="35"/>
      <c r="AY166" s="36"/>
      <c r="BF166" s="35"/>
      <c r="BG166" s="35"/>
      <c r="BO166" s="35"/>
      <c r="BP166" s="35"/>
      <c r="BW166" s="36"/>
      <c r="BX166" s="36"/>
      <c r="BY166" s="36"/>
      <c r="BZ166" s="36"/>
      <c r="CY166" s="33"/>
    </row>
    <row r="167" spans="2:103" s="32" customFormat="1" x14ac:dyDescent="0.15">
      <c r="B167" s="33"/>
      <c r="E167" s="35"/>
      <c r="H167" s="33"/>
      <c r="N167" s="114"/>
      <c r="O167" s="34"/>
      <c r="P167" s="33"/>
      <c r="Q167" s="33"/>
      <c r="AA167" s="33"/>
      <c r="AB167" s="33"/>
      <c r="AC167" s="33"/>
      <c r="AD167" s="139"/>
      <c r="AE167" s="33"/>
      <c r="AL167" s="35"/>
      <c r="AV167" s="35"/>
      <c r="AW167" s="35"/>
      <c r="AX167" s="35"/>
      <c r="AY167" s="36"/>
      <c r="BF167" s="35"/>
      <c r="BG167" s="35"/>
      <c r="BO167" s="35"/>
      <c r="BP167" s="35"/>
      <c r="BW167" s="36"/>
      <c r="BX167" s="36"/>
      <c r="BY167" s="36"/>
      <c r="BZ167" s="36"/>
      <c r="CY167" s="33"/>
    </row>
    <row r="168" spans="2:103" s="32" customFormat="1" x14ac:dyDescent="0.15">
      <c r="B168" s="33"/>
      <c r="E168" s="35"/>
      <c r="H168" s="33"/>
      <c r="N168" s="114"/>
      <c r="O168" s="34"/>
      <c r="P168" s="33"/>
      <c r="Q168" s="33"/>
      <c r="AA168" s="33"/>
      <c r="AB168" s="33"/>
      <c r="AC168" s="33"/>
      <c r="AD168" s="139"/>
      <c r="AE168" s="33"/>
      <c r="AL168" s="35"/>
      <c r="AV168" s="35"/>
      <c r="AW168" s="35"/>
      <c r="AX168" s="35"/>
      <c r="AY168" s="36"/>
      <c r="BF168" s="35"/>
      <c r="BG168" s="35"/>
      <c r="BO168" s="35"/>
      <c r="BP168" s="35"/>
      <c r="BW168" s="36"/>
      <c r="BX168" s="36"/>
      <c r="BY168" s="36"/>
      <c r="BZ168" s="36"/>
      <c r="CY168" s="33"/>
    </row>
    <row r="169" spans="2:103" s="32" customFormat="1" x14ac:dyDescent="0.15">
      <c r="B169" s="33"/>
      <c r="E169" s="35"/>
      <c r="H169" s="33"/>
      <c r="N169" s="114"/>
      <c r="O169" s="34"/>
      <c r="P169" s="33"/>
      <c r="Q169" s="33"/>
      <c r="AA169" s="33"/>
      <c r="AB169" s="33"/>
      <c r="AC169" s="33"/>
      <c r="AD169" s="139"/>
      <c r="AE169" s="33"/>
      <c r="AL169" s="35"/>
      <c r="AV169" s="35"/>
      <c r="AW169" s="35"/>
      <c r="AX169" s="35"/>
      <c r="AY169" s="36"/>
      <c r="BF169" s="35"/>
      <c r="BG169" s="35"/>
      <c r="BO169" s="35"/>
      <c r="BP169" s="35"/>
      <c r="BW169" s="36"/>
      <c r="BX169" s="36"/>
      <c r="BY169" s="36"/>
      <c r="BZ169" s="36"/>
      <c r="CY169" s="33"/>
    </row>
    <row r="170" spans="2:103" s="32" customFormat="1" x14ac:dyDescent="0.15">
      <c r="B170" s="33"/>
      <c r="E170" s="35"/>
      <c r="H170" s="33"/>
      <c r="N170" s="114"/>
      <c r="O170" s="34"/>
      <c r="P170" s="33"/>
      <c r="Q170" s="33"/>
      <c r="AA170" s="33"/>
      <c r="AB170" s="33"/>
      <c r="AC170" s="33"/>
      <c r="AD170" s="139"/>
      <c r="AE170" s="33"/>
      <c r="AL170" s="35"/>
      <c r="AV170" s="35"/>
      <c r="AW170" s="35"/>
      <c r="AX170" s="35"/>
      <c r="AY170" s="36"/>
      <c r="BF170" s="35"/>
      <c r="BG170" s="35"/>
      <c r="BO170" s="35"/>
      <c r="BP170" s="35"/>
      <c r="BW170" s="36"/>
      <c r="BX170" s="36"/>
      <c r="BY170" s="36"/>
      <c r="BZ170" s="36"/>
      <c r="CY170" s="33"/>
    </row>
    <row r="171" spans="2:103" s="32" customFormat="1" x14ac:dyDescent="0.15">
      <c r="B171" s="33"/>
      <c r="E171" s="35"/>
      <c r="H171" s="33"/>
      <c r="N171" s="114"/>
      <c r="O171" s="34"/>
      <c r="P171" s="33"/>
      <c r="Q171" s="33"/>
      <c r="AA171" s="33"/>
      <c r="AB171" s="33"/>
      <c r="AC171" s="33"/>
      <c r="AD171" s="139"/>
      <c r="AE171" s="33"/>
      <c r="AL171" s="35"/>
      <c r="AV171" s="35"/>
      <c r="AW171" s="35"/>
      <c r="AX171" s="35"/>
      <c r="AY171" s="36"/>
      <c r="BF171" s="35"/>
      <c r="BG171" s="35"/>
      <c r="BO171" s="35"/>
      <c r="BP171" s="35"/>
      <c r="BW171" s="36"/>
      <c r="BX171" s="36"/>
      <c r="BY171" s="36"/>
      <c r="BZ171" s="36"/>
      <c r="CY171" s="33"/>
    </row>
    <row r="172" spans="2:103" s="32" customFormat="1" x14ac:dyDescent="0.15">
      <c r="B172" s="33"/>
      <c r="E172" s="35"/>
      <c r="H172" s="33"/>
      <c r="N172" s="114"/>
      <c r="O172" s="34"/>
      <c r="P172" s="33"/>
      <c r="Q172" s="33"/>
      <c r="AA172" s="33"/>
      <c r="AB172" s="33"/>
      <c r="AC172" s="33"/>
      <c r="AD172" s="139"/>
      <c r="AE172" s="33"/>
      <c r="AL172" s="35"/>
      <c r="AV172" s="35"/>
      <c r="AW172" s="35"/>
      <c r="AX172" s="35"/>
      <c r="AY172" s="36"/>
      <c r="BF172" s="35"/>
      <c r="BG172" s="35"/>
      <c r="BO172" s="35"/>
      <c r="BP172" s="35"/>
      <c r="BW172" s="36"/>
      <c r="BX172" s="36"/>
      <c r="BY172" s="36"/>
      <c r="BZ172" s="36"/>
      <c r="CY172" s="33"/>
    </row>
    <row r="173" spans="2:103" s="32" customFormat="1" x14ac:dyDescent="0.15">
      <c r="B173" s="33"/>
      <c r="E173" s="35"/>
      <c r="H173" s="33"/>
      <c r="N173" s="114"/>
      <c r="O173" s="34"/>
      <c r="P173" s="33"/>
      <c r="Q173" s="33"/>
      <c r="AA173" s="33"/>
      <c r="AB173" s="33"/>
      <c r="AC173" s="33"/>
      <c r="AD173" s="139"/>
      <c r="AE173" s="33"/>
      <c r="AL173" s="35"/>
      <c r="AV173" s="35"/>
      <c r="AW173" s="35"/>
      <c r="AX173" s="35"/>
      <c r="AY173" s="36"/>
      <c r="BF173" s="35"/>
      <c r="BG173" s="35"/>
      <c r="BO173" s="35"/>
      <c r="BP173" s="35"/>
      <c r="BW173" s="36"/>
      <c r="BX173" s="36"/>
      <c r="BY173" s="36"/>
      <c r="BZ173" s="36"/>
      <c r="CY173" s="33"/>
    </row>
    <row r="174" spans="2:103" s="32" customFormat="1" x14ac:dyDescent="0.15">
      <c r="B174" s="33"/>
      <c r="E174" s="35"/>
      <c r="H174" s="33"/>
      <c r="N174" s="114"/>
      <c r="O174" s="34"/>
      <c r="P174" s="33"/>
      <c r="Q174" s="33"/>
      <c r="AA174" s="33"/>
      <c r="AB174" s="33"/>
      <c r="AC174" s="33"/>
      <c r="AD174" s="139"/>
      <c r="AE174" s="33"/>
      <c r="AL174" s="35"/>
      <c r="AV174" s="35"/>
      <c r="AW174" s="35"/>
      <c r="AX174" s="35"/>
      <c r="AY174" s="36"/>
      <c r="BF174" s="35"/>
      <c r="BG174" s="35"/>
      <c r="BO174" s="35"/>
      <c r="BP174" s="35"/>
      <c r="BW174" s="36"/>
      <c r="BX174" s="36"/>
      <c r="BY174" s="36"/>
      <c r="BZ174" s="36"/>
      <c r="CY174" s="33"/>
    </row>
    <row r="175" spans="2:103" s="32" customFormat="1" x14ac:dyDescent="0.15">
      <c r="B175" s="33"/>
      <c r="E175" s="35"/>
      <c r="H175" s="33"/>
      <c r="N175" s="114"/>
      <c r="O175" s="34"/>
      <c r="P175" s="33"/>
      <c r="Q175" s="33"/>
      <c r="AA175" s="33"/>
      <c r="AB175" s="33"/>
      <c r="AC175" s="33"/>
      <c r="AD175" s="139"/>
      <c r="AE175" s="33"/>
      <c r="AL175" s="35"/>
      <c r="AV175" s="35"/>
      <c r="AW175" s="35"/>
      <c r="AX175" s="35"/>
      <c r="AY175" s="36"/>
      <c r="BF175" s="35"/>
      <c r="BG175" s="35"/>
      <c r="BO175" s="35"/>
      <c r="BP175" s="35"/>
      <c r="BW175" s="36"/>
      <c r="BX175" s="36"/>
      <c r="BY175" s="36"/>
      <c r="BZ175" s="36"/>
      <c r="CY175" s="33"/>
    </row>
    <row r="176" spans="2:103" s="32" customFormat="1" x14ac:dyDescent="0.15">
      <c r="B176" s="33"/>
      <c r="E176" s="35"/>
      <c r="H176" s="33"/>
      <c r="N176" s="114"/>
      <c r="O176" s="34"/>
      <c r="P176" s="33"/>
      <c r="Q176" s="33"/>
      <c r="AA176" s="33"/>
      <c r="AB176" s="33"/>
      <c r="AC176" s="33"/>
      <c r="AD176" s="139"/>
      <c r="AE176" s="33"/>
      <c r="AL176" s="35"/>
      <c r="AV176" s="35"/>
      <c r="AW176" s="35"/>
      <c r="AX176" s="35"/>
      <c r="AY176" s="36"/>
      <c r="BF176" s="35"/>
      <c r="BG176" s="35"/>
      <c r="BO176" s="35"/>
      <c r="BP176" s="35"/>
      <c r="BW176" s="36"/>
      <c r="BX176" s="36"/>
      <c r="BY176" s="36"/>
      <c r="BZ176" s="36"/>
      <c r="CY176" s="33"/>
    </row>
    <row r="177" spans="2:103" s="32" customFormat="1" x14ac:dyDescent="0.15">
      <c r="B177" s="33"/>
      <c r="E177" s="35"/>
      <c r="H177" s="33"/>
      <c r="N177" s="114"/>
      <c r="O177" s="34"/>
      <c r="P177" s="33"/>
      <c r="Q177" s="33"/>
      <c r="AA177" s="33"/>
      <c r="AB177" s="33"/>
      <c r="AC177" s="33"/>
      <c r="AD177" s="139"/>
      <c r="AE177" s="33"/>
      <c r="AL177" s="35"/>
      <c r="AV177" s="35"/>
      <c r="AW177" s="35"/>
      <c r="AX177" s="35"/>
      <c r="AY177" s="36"/>
      <c r="BF177" s="35"/>
      <c r="BG177" s="35"/>
      <c r="BO177" s="35"/>
      <c r="BP177" s="35"/>
      <c r="BW177" s="36"/>
      <c r="BX177" s="36"/>
      <c r="BY177" s="36"/>
      <c r="BZ177" s="36"/>
      <c r="CY177" s="33"/>
    </row>
    <row r="178" spans="2:103" s="32" customFormat="1" x14ac:dyDescent="0.15">
      <c r="B178" s="33"/>
      <c r="E178" s="35"/>
      <c r="H178" s="33"/>
      <c r="N178" s="114"/>
      <c r="O178" s="34"/>
      <c r="P178" s="33"/>
      <c r="Q178" s="33"/>
      <c r="AA178" s="33"/>
      <c r="AB178" s="33"/>
      <c r="AC178" s="33"/>
      <c r="AD178" s="139"/>
      <c r="AE178" s="33"/>
      <c r="AL178" s="35"/>
      <c r="AV178" s="35"/>
      <c r="AW178" s="35"/>
      <c r="AX178" s="35"/>
      <c r="AY178" s="36"/>
      <c r="BF178" s="35"/>
      <c r="BG178" s="35"/>
      <c r="BO178" s="35"/>
      <c r="BP178" s="35"/>
      <c r="BW178" s="36"/>
      <c r="BX178" s="36"/>
      <c r="BY178" s="36"/>
      <c r="BZ178" s="36"/>
      <c r="CY178" s="33"/>
    </row>
    <row r="179" spans="2:103" s="32" customFormat="1" x14ac:dyDescent="0.15">
      <c r="B179" s="33"/>
      <c r="E179" s="35"/>
      <c r="H179" s="33"/>
      <c r="N179" s="114"/>
      <c r="O179" s="34"/>
      <c r="P179" s="33"/>
      <c r="Q179" s="33"/>
      <c r="AA179" s="33"/>
      <c r="AB179" s="33"/>
      <c r="AC179" s="33"/>
      <c r="AD179" s="139"/>
      <c r="AE179" s="33"/>
      <c r="AL179" s="35"/>
      <c r="AV179" s="35"/>
      <c r="AW179" s="35"/>
      <c r="AX179" s="35"/>
      <c r="AY179" s="36"/>
      <c r="BF179" s="35"/>
      <c r="BG179" s="35"/>
      <c r="BO179" s="35"/>
      <c r="BP179" s="35"/>
      <c r="BW179" s="36"/>
      <c r="BX179" s="36"/>
      <c r="BY179" s="36"/>
      <c r="BZ179" s="36"/>
      <c r="CY179" s="33"/>
    </row>
    <row r="180" spans="2:103" s="32" customFormat="1" x14ac:dyDescent="0.15">
      <c r="B180" s="33"/>
      <c r="E180" s="35"/>
      <c r="H180" s="33"/>
      <c r="N180" s="114"/>
      <c r="O180" s="34"/>
      <c r="P180" s="33"/>
      <c r="Q180" s="33"/>
      <c r="AA180" s="33"/>
      <c r="AB180" s="33"/>
      <c r="AC180" s="33"/>
      <c r="AD180" s="139"/>
      <c r="AE180" s="33"/>
      <c r="AL180" s="35"/>
      <c r="AV180" s="35"/>
      <c r="AW180" s="35"/>
      <c r="AX180" s="35"/>
      <c r="AY180" s="36"/>
      <c r="BF180" s="35"/>
      <c r="BG180" s="35"/>
      <c r="BO180" s="35"/>
      <c r="BP180" s="35"/>
      <c r="BW180" s="36"/>
      <c r="BX180" s="36"/>
      <c r="BY180" s="36"/>
      <c r="BZ180" s="36"/>
      <c r="CY180" s="33"/>
    </row>
    <row r="181" spans="2:103" s="32" customFormat="1" x14ac:dyDescent="0.15">
      <c r="B181" s="33"/>
      <c r="E181" s="35"/>
      <c r="H181" s="33"/>
      <c r="N181" s="114"/>
      <c r="O181" s="34"/>
      <c r="P181" s="33"/>
      <c r="Q181" s="33"/>
      <c r="AA181" s="33"/>
      <c r="AB181" s="33"/>
      <c r="AC181" s="33"/>
      <c r="AD181" s="139"/>
      <c r="AE181" s="33"/>
      <c r="AL181" s="35"/>
      <c r="AV181" s="35"/>
      <c r="AW181" s="35"/>
      <c r="AX181" s="35"/>
      <c r="AY181" s="36"/>
      <c r="BF181" s="35"/>
      <c r="BG181" s="35"/>
      <c r="BO181" s="35"/>
      <c r="BP181" s="35"/>
      <c r="BW181" s="36"/>
      <c r="BX181" s="36"/>
      <c r="BY181" s="36"/>
      <c r="BZ181" s="36"/>
      <c r="CY181" s="33"/>
    </row>
    <row r="182" spans="2:103" s="32" customFormat="1" x14ac:dyDescent="0.15">
      <c r="B182" s="33"/>
      <c r="E182" s="35"/>
      <c r="H182" s="33"/>
      <c r="N182" s="114"/>
      <c r="O182" s="34"/>
      <c r="P182" s="33"/>
      <c r="Q182" s="33"/>
      <c r="AA182" s="33"/>
      <c r="AB182" s="33"/>
      <c r="AC182" s="33"/>
      <c r="AD182" s="139"/>
      <c r="AE182" s="33"/>
      <c r="AL182" s="35"/>
      <c r="AV182" s="35"/>
      <c r="AW182" s="35"/>
      <c r="AX182" s="35"/>
      <c r="AY182" s="36"/>
      <c r="BF182" s="35"/>
      <c r="BG182" s="35"/>
      <c r="BO182" s="35"/>
      <c r="BP182" s="35"/>
      <c r="BW182" s="36"/>
      <c r="BX182" s="36"/>
      <c r="BY182" s="36"/>
      <c r="BZ182" s="36"/>
      <c r="CY182" s="33"/>
    </row>
    <row r="183" spans="2:103" s="32" customFormat="1" x14ac:dyDescent="0.15">
      <c r="B183" s="33"/>
      <c r="E183" s="35"/>
      <c r="H183" s="33"/>
      <c r="N183" s="114"/>
      <c r="O183" s="34"/>
      <c r="P183" s="33"/>
      <c r="Q183" s="33"/>
      <c r="AA183" s="33"/>
      <c r="AB183" s="33"/>
      <c r="AC183" s="33"/>
      <c r="AD183" s="139"/>
      <c r="AE183" s="33"/>
      <c r="AL183" s="35"/>
      <c r="AV183" s="35"/>
      <c r="AW183" s="35"/>
      <c r="AX183" s="35"/>
      <c r="AY183" s="36"/>
      <c r="BF183" s="35"/>
      <c r="BG183" s="35"/>
      <c r="BO183" s="35"/>
      <c r="BP183" s="35"/>
      <c r="BW183" s="36"/>
      <c r="BX183" s="36"/>
      <c r="BY183" s="36"/>
      <c r="BZ183" s="36"/>
      <c r="CY183" s="33"/>
    </row>
    <row r="184" spans="2:103" s="32" customFormat="1" x14ac:dyDescent="0.15">
      <c r="B184" s="33"/>
      <c r="E184" s="35"/>
      <c r="H184" s="33"/>
      <c r="N184" s="114"/>
      <c r="O184" s="34"/>
      <c r="P184" s="33"/>
      <c r="Q184" s="33"/>
      <c r="AA184" s="33"/>
      <c r="AB184" s="33"/>
      <c r="AC184" s="33"/>
      <c r="AD184" s="139"/>
      <c r="AE184" s="33"/>
      <c r="AL184" s="35"/>
      <c r="AV184" s="35"/>
      <c r="AW184" s="35"/>
      <c r="AX184" s="35"/>
      <c r="AY184" s="36"/>
      <c r="BF184" s="35"/>
      <c r="BG184" s="35"/>
      <c r="BO184" s="35"/>
      <c r="BP184" s="35"/>
      <c r="BW184" s="36"/>
      <c r="BX184" s="36"/>
      <c r="BY184" s="36"/>
      <c r="BZ184" s="36"/>
      <c r="CY184" s="33"/>
    </row>
    <row r="185" spans="2:103" s="32" customFormat="1" x14ac:dyDescent="0.15">
      <c r="B185" s="33"/>
      <c r="E185" s="35"/>
      <c r="H185" s="33"/>
      <c r="N185" s="114"/>
      <c r="O185" s="34"/>
      <c r="P185" s="33"/>
      <c r="Q185" s="33"/>
      <c r="AA185" s="33"/>
      <c r="AB185" s="33"/>
      <c r="AC185" s="33"/>
      <c r="AD185" s="139"/>
      <c r="AE185" s="33"/>
      <c r="AL185" s="35"/>
      <c r="AV185" s="35"/>
      <c r="AW185" s="35"/>
      <c r="AX185" s="35"/>
      <c r="AY185" s="36"/>
      <c r="BF185" s="35"/>
      <c r="BG185" s="35"/>
      <c r="BO185" s="35"/>
      <c r="BP185" s="35"/>
      <c r="BW185" s="36"/>
      <c r="BX185" s="36"/>
      <c r="BY185" s="36"/>
      <c r="BZ185" s="36"/>
      <c r="CY185" s="33"/>
    </row>
    <row r="186" spans="2:103" s="32" customFormat="1" x14ac:dyDescent="0.15">
      <c r="B186" s="33"/>
      <c r="E186" s="35"/>
      <c r="H186" s="33"/>
      <c r="N186" s="114"/>
      <c r="O186" s="34"/>
      <c r="P186" s="33"/>
      <c r="Q186" s="33"/>
      <c r="AA186" s="33"/>
      <c r="AB186" s="33"/>
      <c r="AC186" s="33"/>
      <c r="AD186" s="139"/>
      <c r="AE186" s="33"/>
      <c r="AL186" s="35"/>
      <c r="AV186" s="35"/>
      <c r="AW186" s="35"/>
      <c r="AX186" s="35"/>
      <c r="AY186" s="36"/>
      <c r="BF186" s="35"/>
      <c r="BG186" s="35"/>
      <c r="BO186" s="35"/>
      <c r="BP186" s="35"/>
      <c r="BW186" s="36"/>
      <c r="BX186" s="36"/>
      <c r="BY186" s="36"/>
      <c r="BZ186" s="36"/>
      <c r="CY186" s="33"/>
    </row>
    <row r="187" spans="2:103" s="32" customFormat="1" x14ac:dyDescent="0.15">
      <c r="B187" s="33"/>
      <c r="E187" s="35"/>
      <c r="H187" s="33"/>
      <c r="N187" s="114"/>
      <c r="O187" s="34"/>
      <c r="P187" s="33"/>
      <c r="Q187" s="33"/>
      <c r="AA187" s="33"/>
      <c r="AB187" s="33"/>
      <c r="AC187" s="33"/>
      <c r="AD187" s="139"/>
      <c r="AE187" s="33"/>
      <c r="AL187" s="35"/>
      <c r="AV187" s="35"/>
      <c r="AW187" s="35"/>
      <c r="AX187" s="35"/>
      <c r="AY187" s="36"/>
      <c r="BF187" s="35"/>
      <c r="BG187" s="35"/>
      <c r="BO187" s="35"/>
      <c r="BP187" s="35"/>
      <c r="BW187" s="36"/>
      <c r="BX187" s="36"/>
      <c r="BY187" s="36"/>
      <c r="BZ187" s="36"/>
      <c r="CY187" s="33"/>
    </row>
    <row r="188" spans="2:103" s="32" customFormat="1" x14ac:dyDescent="0.15">
      <c r="B188" s="33"/>
      <c r="E188" s="35"/>
      <c r="H188" s="33"/>
      <c r="N188" s="114"/>
      <c r="O188" s="34"/>
      <c r="P188" s="33"/>
      <c r="Q188" s="33"/>
      <c r="AA188" s="33"/>
      <c r="AB188" s="33"/>
      <c r="AC188" s="33"/>
      <c r="AD188" s="139"/>
      <c r="AE188" s="33"/>
      <c r="AL188" s="35"/>
      <c r="AV188" s="35"/>
      <c r="AW188" s="35"/>
      <c r="AX188" s="35"/>
      <c r="AY188" s="36"/>
      <c r="BF188" s="35"/>
      <c r="BG188" s="35"/>
      <c r="BO188" s="35"/>
      <c r="BP188" s="35"/>
      <c r="BW188" s="36"/>
      <c r="BX188" s="36"/>
      <c r="BY188" s="36"/>
      <c r="BZ188" s="36"/>
      <c r="CY188" s="33"/>
    </row>
    <row r="189" spans="2:103" s="32" customFormat="1" x14ac:dyDescent="0.15">
      <c r="B189" s="33"/>
      <c r="E189" s="35"/>
      <c r="H189" s="33"/>
      <c r="N189" s="114"/>
      <c r="O189" s="34"/>
      <c r="P189" s="33"/>
      <c r="Q189" s="33"/>
      <c r="AA189" s="33"/>
      <c r="AB189" s="33"/>
      <c r="AC189" s="33"/>
      <c r="AD189" s="139"/>
      <c r="AE189" s="33"/>
      <c r="AL189" s="35"/>
      <c r="AV189" s="35"/>
      <c r="AW189" s="35"/>
      <c r="AX189" s="35"/>
      <c r="AY189" s="36"/>
      <c r="BF189" s="35"/>
      <c r="BG189" s="35"/>
      <c r="BO189" s="35"/>
      <c r="BP189" s="35"/>
      <c r="BW189" s="36"/>
      <c r="BX189" s="36"/>
      <c r="BY189" s="36"/>
      <c r="BZ189" s="36"/>
      <c r="CY189" s="33"/>
    </row>
    <row r="190" spans="2:103" s="32" customFormat="1" x14ac:dyDescent="0.15">
      <c r="B190" s="33"/>
      <c r="E190" s="35"/>
      <c r="H190" s="33"/>
      <c r="N190" s="114"/>
      <c r="O190" s="34"/>
      <c r="P190" s="33"/>
      <c r="Q190" s="33"/>
      <c r="AA190" s="33"/>
      <c r="AB190" s="33"/>
      <c r="AC190" s="33"/>
      <c r="AD190" s="139"/>
      <c r="AE190" s="33"/>
      <c r="AL190" s="35"/>
      <c r="AV190" s="35"/>
      <c r="AW190" s="35"/>
      <c r="AX190" s="35"/>
      <c r="AY190" s="36"/>
      <c r="BF190" s="35"/>
      <c r="BG190" s="35"/>
      <c r="BO190" s="35"/>
      <c r="BP190" s="35"/>
      <c r="BW190" s="36"/>
      <c r="BX190" s="36"/>
      <c r="BY190" s="36"/>
      <c r="BZ190" s="36"/>
      <c r="CY190" s="33"/>
    </row>
    <row r="191" spans="2:103" s="32" customFormat="1" x14ac:dyDescent="0.15">
      <c r="B191" s="33"/>
      <c r="E191" s="35"/>
      <c r="H191" s="33"/>
      <c r="N191" s="114"/>
      <c r="O191" s="34"/>
      <c r="P191" s="33"/>
      <c r="Q191" s="33"/>
      <c r="AA191" s="33"/>
      <c r="AB191" s="33"/>
      <c r="AC191" s="33"/>
      <c r="AD191" s="139"/>
      <c r="AE191" s="33"/>
      <c r="AL191" s="35"/>
      <c r="AV191" s="35"/>
      <c r="AW191" s="35"/>
      <c r="AX191" s="35"/>
      <c r="AY191" s="36"/>
      <c r="BF191" s="35"/>
      <c r="BG191" s="35"/>
      <c r="BO191" s="35"/>
      <c r="BP191" s="35"/>
      <c r="BW191" s="36"/>
      <c r="BX191" s="36"/>
      <c r="BY191" s="36"/>
      <c r="BZ191" s="36"/>
      <c r="CY191" s="33"/>
    </row>
    <row r="192" spans="2:103" s="32" customFormat="1" x14ac:dyDescent="0.15">
      <c r="B192" s="33"/>
      <c r="E192" s="35"/>
      <c r="H192" s="33"/>
      <c r="N192" s="114"/>
      <c r="O192" s="34"/>
      <c r="P192" s="33"/>
      <c r="Q192" s="33"/>
      <c r="AA192" s="33"/>
      <c r="AB192" s="33"/>
      <c r="AC192" s="33"/>
      <c r="AD192" s="139"/>
      <c r="AE192" s="33"/>
      <c r="AL192" s="35"/>
      <c r="AV192" s="35"/>
      <c r="AW192" s="35"/>
      <c r="AX192" s="35"/>
      <c r="AY192" s="36"/>
      <c r="BF192" s="35"/>
      <c r="BG192" s="35"/>
      <c r="BO192" s="35"/>
      <c r="BP192" s="35"/>
      <c r="BW192" s="36"/>
      <c r="BX192" s="36"/>
      <c r="BY192" s="36"/>
      <c r="BZ192" s="36"/>
      <c r="CY192" s="33"/>
    </row>
    <row r="193" spans="2:103" s="32" customFormat="1" x14ac:dyDescent="0.15">
      <c r="B193" s="33"/>
      <c r="E193" s="35"/>
      <c r="H193" s="33"/>
      <c r="N193" s="114"/>
      <c r="O193" s="34"/>
      <c r="P193" s="33"/>
      <c r="Q193" s="33"/>
      <c r="AA193" s="33"/>
      <c r="AB193" s="33"/>
      <c r="AC193" s="33"/>
      <c r="AD193" s="139"/>
      <c r="AE193" s="33"/>
      <c r="AL193" s="35"/>
      <c r="AV193" s="35"/>
      <c r="AW193" s="35"/>
      <c r="AX193" s="35"/>
      <c r="AY193" s="36"/>
      <c r="BF193" s="35"/>
      <c r="BG193" s="35"/>
      <c r="BO193" s="35"/>
      <c r="BP193" s="35"/>
      <c r="BW193" s="36"/>
      <c r="BX193" s="36"/>
      <c r="BY193" s="36"/>
      <c r="BZ193" s="36"/>
      <c r="CY193" s="33"/>
    </row>
    <row r="194" spans="2:103" s="32" customFormat="1" x14ac:dyDescent="0.15">
      <c r="B194" s="33"/>
      <c r="E194" s="35"/>
      <c r="H194" s="33"/>
      <c r="N194" s="114"/>
      <c r="O194" s="34"/>
      <c r="P194" s="33"/>
      <c r="Q194" s="33"/>
      <c r="AA194" s="33"/>
      <c r="AB194" s="33"/>
      <c r="AC194" s="33"/>
      <c r="AD194" s="139"/>
      <c r="AE194" s="33"/>
      <c r="AL194" s="35"/>
      <c r="AV194" s="35"/>
      <c r="AW194" s="35"/>
      <c r="AX194" s="35"/>
      <c r="AY194" s="36"/>
      <c r="BF194" s="35"/>
      <c r="BG194" s="35"/>
      <c r="BO194" s="35"/>
      <c r="BP194" s="35"/>
      <c r="BW194" s="36"/>
      <c r="BX194" s="36"/>
      <c r="BY194" s="36"/>
      <c r="BZ194" s="36"/>
      <c r="CY194" s="33"/>
    </row>
    <row r="195" spans="2:103" s="32" customFormat="1" x14ac:dyDescent="0.15">
      <c r="B195" s="33"/>
      <c r="E195" s="35"/>
      <c r="H195" s="33"/>
      <c r="N195" s="114"/>
      <c r="O195" s="34"/>
      <c r="P195" s="33"/>
      <c r="Q195" s="33"/>
      <c r="AA195" s="33"/>
      <c r="AB195" s="33"/>
      <c r="AC195" s="33"/>
      <c r="AD195" s="139"/>
      <c r="AE195" s="33"/>
      <c r="AL195" s="35"/>
      <c r="AV195" s="35"/>
      <c r="AW195" s="35"/>
      <c r="AX195" s="35"/>
      <c r="AY195" s="36"/>
      <c r="BF195" s="35"/>
      <c r="BG195" s="35"/>
      <c r="BO195" s="35"/>
      <c r="BP195" s="35"/>
      <c r="BW195" s="36"/>
      <c r="BX195" s="36"/>
      <c r="BY195" s="36"/>
      <c r="BZ195" s="36"/>
      <c r="CY195" s="33"/>
    </row>
    <row r="196" spans="2:103" s="32" customFormat="1" x14ac:dyDescent="0.15">
      <c r="B196" s="33"/>
      <c r="E196" s="35"/>
      <c r="H196" s="33"/>
      <c r="N196" s="114"/>
      <c r="O196" s="34"/>
      <c r="P196" s="33"/>
      <c r="Q196" s="33"/>
      <c r="AA196" s="33"/>
      <c r="AB196" s="33"/>
      <c r="AC196" s="33"/>
      <c r="AD196" s="139"/>
      <c r="AE196" s="33"/>
      <c r="AL196" s="35"/>
      <c r="AV196" s="35"/>
      <c r="AW196" s="35"/>
      <c r="AX196" s="35"/>
      <c r="AY196" s="36"/>
      <c r="BF196" s="35"/>
      <c r="BG196" s="35"/>
      <c r="BO196" s="35"/>
      <c r="BP196" s="35"/>
      <c r="BW196" s="36"/>
      <c r="BX196" s="36"/>
      <c r="BY196" s="36"/>
      <c r="BZ196" s="36"/>
      <c r="CY196" s="33"/>
    </row>
    <row r="197" spans="2:103" s="32" customFormat="1" x14ac:dyDescent="0.15">
      <c r="B197" s="33"/>
      <c r="E197" s="35"/>
      <c r="H197" s="33"/>
      <c r="N197" s="114"/>
      <c r="O197" s="34"/>
      <c r="P197" s="33"/>
      <c r="Q197" s="33"/>
      <c r="AA197" s="33"/>
      <c r="AB197" s="33"/>
      <c r="AC197" s="33"/>
      <c r="AD197" s="139"/>
      <c r="AE197" s="33"/>
      <c r="AL197" s="35"/>
      <c r="AV197" s="35"/>
      <c r="AW197" s="35"/>
      <c r="AX197" s="35"/>
      <c r="AY197" s="36"/>
      <c r="BF197" s="35"/>
      <c r="BG197" s="35"/>
      <c r="BO197" s="35"/>
      <c r="BP197" s="35"/>
      <c r="BW197" s="36"/>
      <c r="BX197" s="36"/>
      <c r="BY197" s="36"/>
      <c r="BZ197" s="36"/>
      <c r="CY197" s="33"/>
    </row>
    <row r="198" spans="2:103" s="32" customFormat="1" x14ac:dyDescent="0.15">
      <c r="B198" s="33"/>
      <c r="E198" s="35"/>
      <c r="H198" s="33"/>
      <c r="N198" s="114"/>
      <c r="O198" s="34"/>
      <c r="P198" s="33"/>
      <c r="Q198" s="33"/>
      <c r="AA198" s="33"/>
      <c r="AB198" s="33"/>
      <c r="AC198" s="33"/>
      <c r="AD198" s="139"/>
      <c r="AE198" s="33"/>
      <c r="AL198" s="35"/>
      <c r="AV198" s="35"/>
      <c r="AW198" s="35"/>
      <c r="AX198" s="35"/>
      <c r="AY198" s="36"/>
      <c r="BF198" s="35"/>
      <c r="BG198" s="35"/>
      <c r="BO198" s="35"/>
      <c r="BP198" s="35"/>
      <c r="BW198" s="36"/>
      <c r="BX198" s="36"/>
      <c r="BY198" s="36"/>
      <c r="BZ198" s="36"/>
      <c r="CY198" s="33"/>
    </row>
    <row r="199" spans="2:103" s="32" customFormat="1" x14ac:dyDescent="0.15">
      <c r="B199" s="33"/>
      <c r="E199" s="35"/>
      <c r="H199" s="33"/>
      <c r="N199" s="114"/>
      <c r="O199" s="34"/>
      <c r="P199" s="33"/>
      <c r="Q199" s="33"/>
      <c r="AA199" s="33"/>
      <c r="AB199" s="33"/>
      <c r="AC199" s="33"/>
      <c r="AD199" s="139"/>
      <c r="AE199" s="33"/>
      <c r="AL199" s="35"/>
      <c r="AV199" s="35"/>
      <c r="AW199" s="35"/>
      <c r="AX199" s="35"/>
      <c r="AY199" s="36"/>
      <c r="BF199" s="35"/>
      <c r="BG199" s="35"/>
      <c r="BO199" s="35"/>
      <c r="BP199" s="35"/>
      <c r="BW199" s="36"/>
      <c r="BX199" s="36"/>
      <c r="BY199" s="36"/>
      <c r="BZ199" s="36"/>
      <c r="CY199" s="33"/>
    </row>
    <row r="200" spans="2:103" s="32" customFormat="1" x14ac:dyDescent="0.15">
      <c r="B200" s="33"/>
      <c r="E200" s="35"/>
      <c r="H200" s="33"/>
      <c r="N200" s="114"/>
      <c r="O200" s="34"/>
      <c r="P200" s="33"/>
      <c r="Q200" s="33"/>
      <c r="AA200" s="33"/>
      <c r="AB200" s="33"/>
      <c r="AC200" s="33"/>
      <c r="AD200" s="139"/>
      <c r="AE200" s="33"/>
      <c r="AL200" s="35"/>
      <c r="AV200" s="35"/>
      <c r="AW200" s="35"/>
      <c r="AX200" s="35"/>
      <c r="AY200" s="36"/>
      <c r="BF200" s="35"/>
      <c r="BG200" s="35"/>
      <c r="BO200" s="35"/>
      <c r="BP200" s="35"/>
      <c r="BW200" s="36"/>
      <c r="BX200" s="36"/>
      <c r="BY200" s="36"/>
      <c r="BZ200" s="36"/>
      <c r="CY200" s="33"/>
    </row>
    <row r="201" spans="2:103" s="32" customFormat="1" x14ac:dyDescent="0.15">
      <c r="B201" s="33"/>
      <c r="E201" s="35"/>
      <c r="H201" s="33"/>
      <c r="N201" s="114"/>
      <c r="O201" s="34"/>
      <c r="P201" s="33"/>
      <c r="Q201" s="33"/>
      <c r="AA201" s="33"/>
      <c r="AB201" s="33"/>
      <c r="AC201" s="33"/>
      <c r="AD201" s="139"/>
      <c r="AE201" s="33"/>
      <c r="AL201" s="35"/>
      <c r="AV201" s="35"/>
      <c r="AW201" s="35"/>
      <c r="AX201" s="35"/>
      <c r="AY201" s="36"/>
      <c r="BF201" s="35"/>
      <c r="BG201" s="35"/>
      <c r="BO201" s="35"/>
      <c r="BP201" s="35"/>
      <c r="BW201" s="36"/>
      <c r="BX201" s="36"/>
      <c r="BY201" s="36"/>
      <c r="BZ201" s="36"/>
      <c r="CY201" s="33"/>
    </row>
    <row r="202" spans="2:103" s="32" customFormat="1" x14ac:dyDescent="0.15">
      <c r="B202" s="33"/>
      <c r="E202" s="35"/>
      <c r="H202" s="33"/>
      <c r="N202" s="114"/>
      <c r="O202" s="34"/>
      <c r="P202" s="33"/>
      <c r="Q202" s="33"/>
      <c r="AA202" s="33"/>
      <c r="AB202" s="33"/>
      <c r="AC202" s="33"/>
      <c r="AD202" s="139"/>
      <c r="AE202" s="33"/>
      <c r="AL202" s="35"/>
      <c r="AV202" s="35"/>
      <c r="AW202" s="35"/>
      <c r="AX202" s="35"/>
      <c r="AY202" s="36"/>
      <c r="BF202" s="35"/>
      <c r="BG202" s="35"/>
      <c r="BO202" s="35"/>
      <c r="BP202" s="35"/>
      <c r="BW202" s="36"/>
      <c r="BX202" s="36"/>
      <c r="BY202" s="36"/>
      <c r="BZ202" s="36"/>
      <c r="CY202" s="33"/>
    </row>
    <row r="203" spans="2:103" s="32" customFormat="1" x14ac:dyDescent="0.15">
      <c r="B203" s="33"/>
      <c r="E203" s="35"/>
      <c r="H203" s="33"/>
      <c r="N203" s="114"/>
      <c r="O203" s="34"/>
      <c r="P203" s="33"/>
      <c r="Q203" s="33"/>
      <c r="AA203" s="33"/>
      <c r="AB203" s="33"/>
      <c r="AC203" s="33"/>
      <c r="AD203" s="139"/>
      <c r="AE203" s="33"/>
      <c r="AL203" s="35"/>
      <c r="AV203" s="35"/>
      <c r="AW203" s="35"/>
      <c r="AX203" s="35"/>
      <c r="AY203" s="36"/>
      <c r="BF203" s="35"/>
      <c r="BG203" s="35"/>
      <c r="BO203" s="35"/>
      <c r="BP203" s="35"/>
      <c r="BW203" s="36"/>
      <c r="BX203" s="36"/>
      <c r="BY203" s="36"/>
      <c r="BZ203" s="36"/>
      <c r="CY203" s="33"/>
    </row>
    <row r="204" spans="2:103" s="32" customFormat="1" x14ac:dyDescent="0.15">
      <c r="B204" s="33"/>
      <c r="E204" s="35"/>
      <c r="H204" s="33"/>
      <c r="N204" s="114"/>
      <c r="O204" s="34"/>
      <c r="P204" s="33"/>
      <c r="Q204" s="33"/>
      <c r="AA204" s="33"/>
      <c r="AB204" s="33"/>
      <c r="AC204" s="33"/>
      <c r="AD204" s="139"/>
      <c r="AE204" s="33"/>
      <c r="AL204" s="35"/>
      <c r="AV204" s="35"/>
      <c r="AW204" s="35"/>
      <c r="AX204" s="35"/>
      <c r="AY204" s="36"/>
      <c r="BF204" s="35"/>
      <c r="BG204" s="35"/>
      <c r="BO204" s="35"/>
      <c r="BP204" s="35"/>
      <c r="BW204" s="36"/>
      <c r="BX204" s="36"/>
      <c r="BY204" s="36"/>
      <c r="BZ204" s="36"/>
      <c r="CY204" s="33"/>
    </row>
    <row r="205" spans="2:103" s="32" customFormat="1" x14ac:dyDescent="0.15">
      <c r="B205" s="33"/>
      <c r="E205" s="35"/>
      <c r="H205" s="33"/>
      <c r="N205" s="114"/>
      <c r="O205" s="34"/>
      <c r="P205" s="33"/>
      <c r="Q205" s="33"/>
      <c r="AA205" s="33"/>
      <c r="AB205" s="33"/>
      <c r="AC205" s="33"/>
      <c r="AD205" s="139"/>
      <c r="AE205" s="33"/>
      <c r="AL205" s="35"/>
      <c r="AV205" s="35"/>
      <c r="AW205" s="35"/>
      <c r="AX205" s="35"/>
      <c r="AY205" s="36"/>
      <c r="BF205" s="35"/>
      <c r="BG205" s="35"/>
      <c r="BO205" s="35"/>
      <c r="BP205" s="35"/>
      <c r="BW205" s="36"/>
      <c r="BX205" s="36"/>
      <c r="BY205" s="36"/>
      <c r="BZ205" s="36"/>
      <c r="CY205" s="33"/>
    </row>
    <row r="206" spans="2:103" s="32" customFormat="1" x14ac:dyDescent="0.15">
      <c r="B206" s="33"/>
      <c r="E206" s="35"/>
      <c r="H206" s="33"/>
      <c r="N206" s="114"/>
      <c r="O206" s="34"/>
      <c r="P206" s="33"/>
      <c r="Q206" s="33"/>
      <c r="AA206" s="33"/>
      <c r="AB206" s="33"/>
      <c r="AC206" s="33"/>
      <c r="AD206" s="139"/>
      <c r="AE206" s="33"/>
      <c r="AL206" s="35"/>
      <c r="AV206" s="35"/>
      <c r="AW206" s="35"/>
      <c r="AX206" s="35"/>
      <c r="AY206" s="36"/>
      <c r="BF206" s="35"/>
      <c r="BG206" s="35"/>
      <c r="BO206" s="35"/>
      <c r="BP206" s="35"/>
      <c r="BW206" s="36"/>
      <c r="BX206" s="36"/>
      <c r="BY206" s="36"/>
      <c r="BZ206" s="36"/>
      <c r="CY206" s="33"/>
    </row>
    <row r="207" spans="2:103" s="32" customFormat="1" x14ac:dyDescent="0.15">
      <c r="B207" s="33"/>
      <c r="E207" s="35"/>
      <c r="H207" s="33"/>
      <c r="N207" s="114"/>
      <c r="O207" s="34"/>
      <c r="P207" s="33"/>
      <c r="Q207" s="33"/>
      <c r="AA207" s="33"/>
      <c r="AB207" s="33"/>
      <c r="AC207" s="33"/>
      <c r="AD207" s="139"/>
      <c r="AE207" s="33"/>
      <c r="AL207" s="35"/>
      <c r="AV207" s="35"/>
      <c r="AW207" s="35"/>
      <c r="AX207" s="35"/>
      <c r="AY207" s="36"/>
      <c r="BF207" s="35"/>
      <c r="BG207" s="35"/>
      <c r="BO207" s="35"/>
      <c r="BP207" s="35"/>
      <c r="BW207" s="36"/>
      <c r="BX207" s="36"/>
      <c r="BY207" s="36"/>
      <c r="BZ207" s="36"/>
      <c r="CY207" s="33"/>
    </row>
    <row r="208" spans="2:103" s="32" customFormat="1" x14ac:dyDescent="0.15">
      <c r="B208" s="33"/>
      <c r="E208" s="35"/>
      <c r="H208" s="33"/>
      <c r="N208" s="114"/>
      <c r="O208" s="34"/>
      <c r="P208" s="33"/>
      <c r="Q208" s="33"/>
      <c r="AA208" s="33"/>
      <c r="AB208" s="33"/>
      <c r="AC208" s="33"/>
      <c r="AD208" s="139"/>
      <c r="AE208" s="33"/>
      <c r="AL208" s="35"/>
      <c r="AV208" s="35"/>
      <c r="AW208" s="35"/>
      <c r="AX208" s="35"/>
      <c r="AY208" s="36"/>
      <c r="BF208" s="35"/>
      <c r="BG208" s="35"/>
      <c r="BO208" s="35"/>
      <c r="BP208" s="35"/>
      <c r="BW208" s="36"/>
      <c r="BX208" s="36"/>
      <c r="BY208" s="36"/>
      <c r="BZ208" s="36"/>
      <c r="CY208" s="33"/>
    </row>
    <row r="209" spans="2:103" s="32" customFormat="1" x14ac:dyDescent="0.15">
      <c r="B209" s="33"/>
      <c r="E209" s="35"/>
      <c r="H209" s="33"/>
      <c r="N209" s="114"/>
      <c r="O209" s="34"/>
      <c r="P209" s="33"/>
      <c r="Q209" s="33"/>
      <c r="AA209" s="33"/>
      <c r="AB209" s="33"/>
      <c r="AC209" s="33"/>
      <c r="AD209" s="139"/>
      <c r="AE209" s="33"/>
      <c r="AL209" s="35"/>
      <c r="AV209" s="35"/>
      <c r="AW209" s="35"/>
      <c r="AX209" s="35"/>
      <c r="AY209" s="36"/>
      <c r="BF209" s="35"/>
      <c r="BG209" s="35"/>
      <c r="BO209" s="35"/>
      <c r="BP209" s="35"/>
      <c r="BW209" s="36"/>
      <c r="BX209" s="36"/>
      <c r="BY209" s="36"/>
      <c r="BZ209" s="36"/>
      <c r="CY209" s="33"/>
    </row>
    <row r="210" spans="2:103" s="32" customFormat="1" x14ac:dyDescent="0.15">
      <c r="B210" s="33"/>
      <c r="E210" s="35"/>
      <c r="H210" s="33"/>
      <c r="N210" s="114"/>
      <c r="O210" s="34"/>
      <c r="P210" s="33"/>
      <c r="Q210" s="33"/>
      <c r="AA210" s="33"/>
      <c r="AB210" s="33"/>
      <c r="AC210" s="33"/>
      <c r="AD210" s="139"/>
      <c r="AE210" s="33"/>
      <c r="AL210" s="35"/>
      <c r="AV210" s="35"/>
      <c r="AW210" s="35"/>
      <c r="AX210" s="35"/>
      <c r="AY210" s="36"/>
      <c r="BF210" s="35"/>
      <c r="BG210" s="35"/>
      <c r="BO210" s="35"/>
      <c r="BP210" s="35"/>
      <c r="BW210" s="36"/>
      <c r="BX210" s="36"/>
      <c r="BY210" s="36"/>
      <c r="BZ210" s="36"/>
      <c r="CY210" s="33"/>
    </row>
    <row r="211" spans="2:103" s="32" customFormat="1" x14ac:dyDescent="0.15">
      <c r="B211" s="33"/>
      <c r="E211" s="35"/>
      <c r="H211" s="33"/>
      <c r="N211" s="114"/>
      <c r="O211" s="34"/>
      <c r="P211" s="33"/>
      <c r="Q211" s="33"/>
      <c r="AA211" s="33"/>
      <c r="AB211" s="33"/>
      <c r="AC211" s="33"/>
      <c r="AD211" s="139"/>
      <c r="AE211" s="33"/>
      <c r="AL211" s="35"/>
      <c r="AV211" s="35"/>
      <c r="AW211" s="35"/>
      <c r="AX211" s="35"/>
      <c r="AY211" s="36"/>
      <c r="BF211" s="35"/>
      <c r="BG211" s="35"/>
      <c r="BO211" s="35"/>
      <c r="BP211" s="35"/>
      <c r="BW211" s="36"/>
      <c r="BX211" s="36"/>
      <c r="BY211" s="36"/>
      <c r="BZ211" s="36"/>
      <c r="CY211" s="33"/>
    </row>
    <row r="212" spans="2:103" s="32" customFormat="1" x14ac:dyDescent="0.15">
      <c r="B212" s="33"/>
      <c r="E212" s="35"/>
      <c r="H212" s="33"/>
      <c r="N212" s="114"/>
      <c r="O212" s="34"/>
      <c r="P212" s="33"/>
      <c r="Q212" s="33"/>
      <c r="AA212" s="33"/>
      <c r="AB212" s="33"/>
      <c r="AC212" s="33"/>
      <c r="AD212" s="139"/>
      <c r="AE212" s="33"/>
      <c r="AL212" s="35"/>
      <c r="AV212" s="35"/>
      <c r="AW212" s="35"/>
      <c r="AX212" s="35"/>
      <c r="AY212" s="36"/>
      <c r="BF212" s="35"/>
      <c r="BG212" s="35"/>
      <c r="BO212" s="35"/>
      <c r="BP212" s="35"/>
      <c r="BW212" s="36"/>
      <c r="BX212" s="36"/>
      <c r="BY212" s="36"/>
      <c r="BZ212" s="36"/>
      <c r="CY212" s="33"/>
    </row>
    <row r="213" spans="2:103" s="32" customFormat="1" x14ac:dyDescent="0.15">
      <c r="B213" s="33"/>
      <c r="E213" s="35"/>
      <c r="H213" s="33"/>
      <c r="N213" s="114"/>
      <c r="O213" s="34"/>
      <c r="P213" s="33"/>
      <c r="Q213" s="33"/>
      <c r="AA213" s="33"/>
      <c r="AB213" s="33"/>
      <c r="AC213" s="33"/>
      <c r="AD213" s="139"/>
      <c r="AE213" s="33"/>
      <c r="AL213" s="35"/>
      <c r="AV213" s="35"/>
      <c r="AW213" s="35"/>
      <c r="AX213" s="35"/>
      <c r="AY213" s="36"/>
      <c r="BF213" s="35"/>
      <c r="BG213" s="35"/>
      <c r="BO213" s="35"/>
      <c r="BP213" s="35"/>
      <c r="BW213" s="36"/>
      <c r="BX213" s="36"/>
      <c r="BY213" s="36"/>
      <c r="BZ213" s="36"/>
      <c r="CY213" s="33"/>
    </row>
    <row r="214" spans="2:103" s="32" customFormat="1" x14ac:dyDescent="0.15">
      <c r="B214" s="33"/>
      <c r="E214" s="35"/>
      <c r="H214" s="33"/>
      <c r="N214" s="114"/>
      <c r="O214" s="34"/>
      <c r="P214" s="33"/>
      <c r="Q214" s="33"/>
      <c r="AA214" s="33"/>
      <c r="AB214" s="33"/>
      <c r="AC214" s="33"/>
      <c r="AD214" s="139"/>
      <c r="AE214" s="33"/>
      <c r="AL214" s="35"/>
      <c r="AV214" s="35"/>
      <c r="AW214" s="35"/>
      <c r="AX214" s="35"/>
      <c r="AY214" s="36"/>
      <c r="BF214" s="35"/>
      <c r="BG214" s="35"/>
      <c r="BO214" s="35"/>
      <c r="BP214" s="35"/>
      <c r="BW214" s="36"/>
      <c r="BX214" s="36"/>
      <c r="BY214" s="36"/>
      <c r="BZ214" s="36"/>
      <c r="CY214" s="33"/>
    </row>
    <row r="215" spans="2:103" s="32" customFormat="1" x14ac:dyDescent="0.15">
      <c r="B215" s="33"/>
      <c r="E215" s="35"/>
      <c r="H215" s="33"/>
      <c r="N215" s="114"/>
      <c r="O215" s="34"/>
      <c r="P215" s="33"/>
      <c r="Q215" s="33"/>
      <c r="AA215" s="33"/>
      <c r="AB215" s="33"/>
      <c r="AC215" s="33"/>
      <c r="AD215" s="139"/>
      <c r="AE215" s="33"/>
      <c r="AL215" s="35"/>
      <c r="AV215" s="35"/>
      <c r="AW215" s="35"/>
      <c r="AX215" s="35"/>
      <c r="AY215" s="36"/>
      <c r="BF215" s="35"/>
      <c r="BG215" s="35"/>
      <c r="BO215" s="35"/>
      <c r="BP215" s="35"/>
      <c r="BW215" s="36"/>
      <c r="BX215" s="36"/>
      <c r="BY215" s="36"/>
      <c r="BZ215" s="36"/>
      <c r="CY215" s="33"/>
    </row>
    <row r="216" spans="2:103" s="32" customFormat="1" x14ac:dyDescent="0.15">
      <c r="B216" s="33"/>
      <c r="E216" s="35"/>
      <c r="H216" s="33"/>
      <c r="N216" s="114"/>
      <c r="O216" s="34"/>
      <c r="P216" s="33"/>
      <c r="Q216" s="33"/>
      <c r="AA216" s="33"/>
      <c r="AB216" s="33"/>
      <c r="AC216" s="33"/>
      <c r="AD216" s="139"/>
      <c r="AE216" s="33"/>
      <c r="AL216" s="35"/>
      <c r="AV216" s="35"/>
      <c r="AW216" s="35"/>
      <c r="AX216" s="35"/>
      <c r="AY216" s="36"/>
      <c r="BF216" s="35"/>
      <c r="BG216" s="35"/>
      <c r="BO216" s="35"/>
      <c r="BP216" s="35"/>
      <c r="BW216" s="36"/>
      <c r="BX216" s="36"/>
      <c r="BY216" s="36"/>
      <c r="BZ216" s="36"/>
      <c r="CY216" s="33"/>
    </row>
    <row r="217" spans="2:103" s="32" customFormat="1" x14ac:dyDescent="0.15">
      <c r="B217" s="33"/>
      <c r="E217" s="35"/>
      <c r="H217" s="33"/>
      <c r="N217" s="114"/>
      <c r="O217" s="34"/>
      <c r="P217" s="33"/>
      <c r="Q217" s="33"/>
      <c r="AA217" s="33"/>
      <c r="AB217" s="33"/>
      <c r="AC217" s="33"/>
      <c r="AD217" s="139"/>
      <c r="AE217" s="33"/>
      <c r="AL217" s="35"/>
      <c r="AV217" s="35"/>
      <c r="AW217" s="35"/>
      <c r="AX217" s="35"/>
      <c r="AY217" s="36"/>
      <c r="BF217" s="35"/>
      <c r="BG217" s="35"/>
      <c r="BO217" s="35"/>
      <c r="BP217" s="35"/>
      <c r="BW217" s="36"/>
      <c r="BX217" s="36"/>
      <c r="BY217" s="36"/>
      <c r="BZ217" s="36"/>
      <c r="CY217" s="33"/>
    </row>
    <row r="218" spans="2:103" s="32" customFormat="1" x14ac:dyDescent="0.15">
      <c r="B218" s="33"/>
      <c r="E218" s="35"/>
      <c r="H218" s="33"/>
      <c r="N218" s="114"/>
      <c r="O218" s="34"/>
      <c r="P218" s="33"/>
      <c r="Q218" s="33"/>
      <c r="AA218" s="33"/>
      <c r="AB218" s="33"/>
      <c r="AC218" s="33"/>
      <c r="AD218" s="139"/>
      <c r="AE218" s="33"/>
      <c r="AL218" s="35"/>
      <c r="AV218" s="35"/>
      <c r="AW218" s="35"/>
      <c r="AX218" s="35"/>
      <c r="AY218" s="36"/>
      <c r="BF218" s="35"/>
      <c r="BG218" s="35"/>
      <c r="BO218" s="35"/>
      <c r="BP218" s="35"/>
      <c r="BW218" s="36"/>
      <c r="BX218" s="36"/>
      <c r="BY218" s="36"/>
      <c r="BZ218" s="36"/>
      <c r="CY218" s="33"/>
    </row>
    <row r="219" spans="2:103" s="32" customFormat="1" x14ac:dyDescent="0.15">
      <c r="B219" s="33"/>
      <c r="E219" s="35"/>
      <c r="H219" s="33"/>
      <c r="N219" s="114"/>
      <c r="O219" s="34"/>
      <c r="P219" s="33"/>
      <c r="Q219" s="33"/>
      <c r="AA219" s="33"/>
      <c r="AB219" s="33"/>
      <c r="AC219" s="33"/>
      <c r="AD219" s="139"/>
      <c r="AE219" s="33"/>
      <c r="AL219" s="35"/>
      <c r="AV219" s="35"/>
      <c r="AW219" s="35"/>
      <c r="AX219" s="35"/>
      <c r="AY219" s="36"/>
      <c r="BF219" s="35"/>
      <c r="BG219" s="35"/>
      <c r="BO219" s="35"/>
      <c r="BP219" s="35"/>
      <c r="BW219" s="36"/>
      <c r="BX219" s="36"/>
      <c r="BY219" s="36"/>
      <c r="BZ219" s="36"/>
      <c r="CY219" s="33"/>
    </row>
    <row r="220" spans="2:103" s="32" customFormat="1" x14ac:dyDescent="0.15">
      <c r="B220" s="33"/>
      <c r="E220" s="35"/>
      <c r="H220" s="33"/>
      <c r="N220" s="114"/>
      <c r="O220" s="34"/>
      <c r="P220" s="33"/>
      <c r="Q220" s="33"/>
      <c r="AA220" s="33"/>
      <c r="AB220" s="33"/>
      <c r="AC220" s="33"/>
      <c r="AD220" s="139"/>
      <c r="AE220" s="33"/>
      <c r="AL220" s="35"/>
      <c r="AV220" s="35"/>
      <c r="AW220" s="35"/>
      <c r="AX220" s="35"/>
      <c r="AY220" s="36"/>
      <c r="BF220" s="35"/>
      <c r="BG220" s="35"/>
      <c r="BO220" s="35"/>
      <c r="BP220" s="35"/>
      <c r="BW220" s="36"/>
      <c r="BX220" s="36"/>
      <c r="BY220" s="36"/>
      <c r="BZ220" s="36"/>
      <c r="CY220" s="33"/>
    </row>
    <row r="221" spans="2:103" s="32" customFormat="1" x14ac:dyDescent="0.15">
      <c r="B221" s="33"/>
      <c r="E221" s="35"/>
      <c r="H221" s="33"/>
      <c r="N221" s="114"/>
      <c r="O221" s="34"/>
      <c r="P221" s="33"/>
      <c r="Q221" s="33"/>
      <c r="AA221" s="33"/>
      <c r="AB221" s="33"/>
      <c r="AC221" s="33"/>
      <c r="AD221" s="139"/>
      <c r="AE221" s="33"/>
      <c r="AL221" s="35"/>
      <c r="AV221" s="35"/>
      <c r="AW221" s="35"/>
      <c r="AX221" s="35"/>
      <c r="AY221" s="36"/>
      <c r="BF221" s="35"/>
      <c r="BG221" s="35"/>
      <c r="BO221" s="35"/>
      <c r="BP221" s="35"/>
      <c r="BW221" s="36"/>
      <c r="BX221" s="36"/>
      <c r="BY221" s="36"/>
      <c r="BZ221" s="36"/>
      <c r="CY221" s="33"/>
    </row>
    <row r="222" spans="2:103" s="32" customFormat="1" x14ac:dyDescent="0.15">
      <c r="B222" s="33"/>
      <c r="E222" s="35"/>
      <c r="H222" s="33"/>
      <c r="N222" s="114"/>
      <c r="O222" s="34"/>
      <c r="P222" s="33"/>
      <c r="Q222" s="33"/>
      <c r="AA222" s="33"/>
      <c r="AB222" s="33"/>
      <c r="AC222" s="33"/>
      <c r="AD222" s="139"/>
      <c r="AE222" s="33"/>
      <c r="AL222" s="35"/>
      <c r="AV222" s="35"/>
      <c r="AW222" s="35"/>
      <c r="AX222" s="35"/>
      <c r="AY222" s="36"/>
      <c r="BF222" s="35"/>
      <c r="BG222" s="35"/>
      <c r="BO222" s="35"/>
      <c r="BP222" s="35"/>
      <c r="BW222" s="36"/>
      <c r="BX222" s="36"/>
      <c r="BY222" s="36"/>
      <c r="BZ222" s="36"/>
      <c r="CY222" s="33"/>
    </row>
    <row r="223" spans="2:103" s="32" customFormat="1" x14ac:dyDescent="0.15">
      <c r="B223" s="33"/>
      <c r="E223" s="35"/>
      <c r="H223" s="33"/>
      <c r="N223" s="114"/>
      <c r="O223" s="34"/>
      <c r="P223" s="33"/>
      <c r="Q223" s="33"/>
      <c r="AA223" s="33"/>
      <c r="AB223" s="33"/>
      <c r="AC223" s="33"/>
      <c r="AD223" s="139"/>
      <c r="AE223" s="33"/>
      <c r="AL223" s="35"/>
      <c r="AV223" s="35"/>
      <c r="AW223" s="35"/>
      <c r="AX223" s="35"/>
      <c r="AY223" s="36"/>
      <c r="BF223" s="35"/>
      <c r="BG223" s="35"/>
      <c r="BO223" s="35"/>
      <c r="BP223" s="35"/>
      <c r="BW223" s="36"/>
      <c r="BX223" s="36"/>
      <c r="BY223" s="36"/>
      <c r="BZ223" s="36"/>
      <c r="CY223" s="33"/>
    </row>
    <row r="224" spans="2:103" s="32" customFormat="1" x14ac:dyDescent="0.15">
      <c r="B224" s="33"/>
      <c r="E224" s="35"/>
      <c r="H224" s="33"/>
      <c r="N224" s="114"/>
      <c r="O224" s="34"/>
      <c r="P224" s="33"/>
      <c r="Q224" s="33"/>
      <c r="AA224" s="33"/>
      <c r="AB224" s="33"/>
      <c r="AC224" s="33"/>
      <c r="AD224" s="139"/>
      <c r="AE224" s="33"/>
      <c r="AL224" s="35"/>
      <c r="AV224" s="35"/>
      <c r="AW224" s="35"/>
      <c r="AX224" s="35"/>
      <c r="AY224" s="36"/>
      <c r="BF224" s="35"/>
      <c r="BG224" s="35"/>
      <c r="BO224" s="35"/>
      <c r="BP224" s="35"/>
      <c r="BW224" s="36"/>
      <c r="BX224" s="36"/>
      <c r="BY224" s="36"/>
      <c r="BZ224" s="36"/>
      <c r="CY224" s="33"/>
    </row>
    <row r="225" spans="2:103" s="32" customFormat="1" x14ac:dyDescent="0.15">
      <c r="B225" s="33"/>
      <c r="E225" s="35"/>
      <c r="H225" s="33"/>
      <c r="N225" s="114"/>
      <c r="O225" s="34"/>
      <c r="P225" s="33"/>
      <c r="Q225" s="33"/>
      <c r="AA225" s="33"/>
      <c r="AB225" s="33"/>
      <c r="AC225" s="33"/>
      <c r="AD225" s="139"/>
      <c r="AE225" s="33"/>
      <c r="AL225" s="35"/>
      <c r="AV225" s="35"/>
      <c r="AW225" s="35"/>
      <c r="AX225" s="35"/>
      <c r="AY225" s="36"/>
      <c r="BF225" s="35"/>
      <c r="BG225" s="35"/>
      <c r="BO225" s="35"/>
      <c r="BP225" s="35"/>
      <c r="BW225" s="36"/>
      <c r="BX225" s="36"/>
      <c r="BY225" s="36"/>
      <c r="BZ225" s="36"/>
      <c r="CY225" s="33"/>
    </row>
    <row r="226" spans="2:103" s="32" customFormat="1" x14ac:dyDescent="0.15">
      <c r="B226" s="33"/>
      <c r="E226" s="35"/>
      <c r="H226" s="33"/>
      <c r="N226" s="114"/>
      <c r="O226" s="34"/>
      <c r="P226" s="33"/>
      <c r="Q226" s="33"/>
      <c r="AA226" s="33"/>
      <c r="AB226" s="33"/>
      <c r="AC226" s="33"/>
      <c r="AD226" s="139"/>
      <c r="AE226" s="33"/>
      <c r="AL226" s="35"/>
      <c r="AV226" s="35"/>
      <c r="AW226" s="35"/>
      <c r="AX226" s="35"/>
      <c r="AY226" s="36"/>
      <c r="BF226" s="35"/>
      <c r="BG226" s="35"/>
      <c r="BO226" s="35"/>
      <c r="BP226" s="35"/>
      <c r="BW226" s="36"/>
      <c r="BX226" s="36"/>
      <c r="BY226" s="36"/>
      <c r="BZ226" s="36"/>
      <c r="CY226" s="33"/>
    </row>
    <row r="227" spans="2:103" s="32" customFormat="1" x14ac:dyDescent="0.15">
      <c r="B227" s="33"/>
      <c r="E227" s="35"/>
      <c r="H227" s="33"/>
      <c r="N227" s="114"/>
      <c r="O227" s="34"/>
      <c r="P227" s="33"/>
      <c r="Q227" s="33"/>
      <c r="AA227" s="33"/>
      <c r="AB227" s="33"/>
      <c r="AC227" s="33"/>
      <c r="AD227" s="139"/>
      <c r="AE227" s="33"/>
      <c r="AL227" s="35"/>
      <c r="AV227" s="35"/>
      <c r="AW227" s="35"/>
      <c r="AX227" s="35"/>
      <c r="AY227" s="36"/>
      <c r="BF227" s="35"/>
      <c r="BG227" s="35"/>
      <c r="BO227" s="35"/>
      <c r="BP227" s="35"/>
      <c r="BW227" s="36"/>
      <c r="BX227" s="36"/>
      <c r="BY227" s="36"/>
      <c r="BZ227" s="36"/>
      <c r="CY227" s="33"/>
    </row>
    <row r="228" spans="2:103" s="32" customFormat="1" x14ac:dyDescent="0.15">
      <c r="B228" s="33"/>
      <c r="E228" s="35"/>
      <c r="H228" s="33"/>
      <c r="N228" s="114"/>
      <c r="O228" s="34"/>
      <c r="P228" s="33"/>
      <c r="Q228" s="33"/>
      <c r="AA228" s="33"/>
      <c r="AB228" s="33"/>
      <c r="AC228" s="33"/>
      <c r="AD228" s="139"/>
      <c r="AE228" s="33"/>
      <c r="AL228" s="35"/>
      <c r="AV228" s="35"/>
      <c r="AW228" s="35"/>
      <c r="AX228" s="35"/>
      <c r="AY228" s="36"/>
      <c r="BF228" s="35"/>
      <c r="BG228" s="35"/>
      <c r="BO228" s="35"/>
      <c r="BP228" s="35"/>
      <c r="BW228" s="36"/>
      <c r="BX228" s="36"/>
      <c r="BY228" s="36"/>
      <c r="BZ228" s="36"/>
      <c r="CY228" s="33"/>
    </row>
    <row r="229" spans="2:103" s="32" customFormat="1" x14ac:dyDescent="0.15">
      <c r="B229" s="33"/>
      <c r="E229" s="35"/>
      <c r="H229" s="33"/>
      <c r="N229" s="114"/>
      <c r="O229" s="34"/>
      <c r="P229" s="33"/>
      <c r="Q229" s="33"/>
      <c r="AA229" s="33"/>
      <c r="AB229" s="33"/>
      <c r="AC229" s="33"/>
      <c r="AD229" s="139"/>
      <c r="AE229" s="33"/>
      <c r="AL229" s="35"/>
      <c r="AV229" s="35"/>
      <c r="AW229" s="35"/>
      <c r="AX229" s="35"/>
      <c r="AY229" s="36"/>
      <c r="BF229" s="35"/>
      <c r="BG229" s="35"/>
      <c r="BO229" s="35"/>
      <c r="BP229" s="35"/>
      <c r="BW229" s="36"/>
      <c r="BX229" s="36"/>
      <c r="BY229" s="36"/>
      <c r="BZ229" s="36"/>
      <c r="CY229" s="33"/>
    </row>
    <row r="230" spans="2:103" s="32" customFormat="1" x14ac:dyDescent="0.15">
      <c r="B230" s="33"/>
      <c r="E230" s="35"/>
      <c r="H230" s="33"/>
      <c r="N230" s="114"/>
      <c r="O230" s="34"/>
      <c r="P230" s="33"/>
      <c r="Q230" s="33"/>
      <c r="AA230" s="33"/>
      <c r="AB230" s="33"/>
      <c r="AC230" s="33"/>
      <c r="AD230" s="139"/>
      <c r="AE230" s="33"/>
      <c r="AL230" s="35"/>
      <c r="AV230" s="35"/>
      <c r="AW230" s="35"/>
      <c r="AX230" s="35"/>
      <c r="AY230" s="36"/>
      <c r="BF230" s="35"/>
      <c r="BG230" s="35"/>
      <c r="BO230" s="35"/>
      <c r="BP230" s="35"/>
      <c r="BW230" s="36"/>
      <c r="BX230" s="36"/>
      <c r="BY230" s="36"/>
      <c r="BZ230" s="36"/>
      <c r="CY230" s="33"/>
    </row>
    <row r="231" spans="2:103" s="32" customFormat="1" x14ac:dyDescent="0.15">
      <c r="B231" s="33"/>
      <c r="E231" s="35"/>
      <c r="H231" s="33"/>
      <c r="N231" s="114"/>
      <c r="O231" s="34"/>
      <c r="P231" s="33"/>
      <c r="Q231" s="33"/>
      <c r="AA231" s="33"/>
      <c r="AB231" s="33"/>
      <c r="AC231" s="33"/>
      <c r="AD231" s="139"/>
      <c r="AE231" s="33"/>
      <c r="AL231" s="35"/>
      <c r="AV231" s="35"/>
      <c r="AW231" s="35"/>
      <c r="AX231" s="35"/>
      <c r="AY231" s="36"/>
      <c r="BF231" s="35"/>
      <c r="BG231" s="35"/>
      <c r="BO231" s="35"/>
      <c r="BP231" s="35"/>
      <c r="BW231" s="36"/>
      <c r="BX231" s="36"/>
      <c r="BY231" s="36"/>
      <c r="BZ231" s="36"/>
      <c r="CY231" s="33"/>
    </row>
    <row r="232" spans="2:103" s="32" customFormat="1" x14ac:dyDescent="0.15">
      <c r="B232" s="33"/>
      <c r="E232" s="35"/>
      <c r="H232" s="33"/>
      <c r="N232" s="114"/>
      <c r="O232" s="34"/>
      <c r="P232" s="33"/>
      <c r="Q232" s="33"/>
      <c r="AA232" s="33"/>
      <c r="AB232" s="33"/>
      <c r="AC232" s="33"/>
      <c r="AD232" s="139"/>
      <c r="AE232" s="33"/>
      <c r="AL232" s="35"/>
      <c r="AV232" s="35"/>
      <c r="AW232" s="35"/>
      <c r="AX232" s="35"/>
      <c r="AY232" s="36"/>
      <c r="BF232" s="35"/>
      <c r="BG232" s="35"/>
      <c r="BO232" s="35"/>
      <c r="BP232" s="35"/>
      <c r="BW232" s="36"/>
      <c r="BX232" s="36"/>
      <c r="BY232" s="36"/>
      <c r="BZ232" s="36"/>
      <c r="CY232" s="33"/>
    </row>
    <row r="233" spans="2:103" s="32" customFormat="1" x14ac:dyDescent="0.15">
      <c r="B233" s="33"/>
      <c r="E233" s="35"/>
      <c r="H233" s="33"/>
      <c r="N233" s="114"/>
      <c r="O233" s="34"/>
      <c r="P233" s="33"/>
      <c r="Q233" s="33"/>
      <c r="AA233" s="33"/>
      <c r="AB233" s="33"/>
      <c r="AC233" s="33"/>
      <c r="AD233" s="139"/>
      <c r="AE233" s="33"/>
      <c r="AL233" s="35"/>
      <c r="AV233" s="35"/>
      <c r="AW233" s="35"/>
      <c r="AX233" s="35"/>
      <c r="AY233" s="36"/>
      <c r="BF233" s="35"/>
      <c r="BG233" s="35"/>
      <c r="BO233" s="35"/>
      <c r="BP233" s="35"/>
      <c r="BW233" s="36"/>
      <c r="BX233" s="36"/>
      <c r="BY233" s="36"/>
      <c r="BZ233" s="36"/>
      <c r="CY233" s="33"/>
    </row>
    <row r="234" spans="2:103" s="32" customFormat="1" x14ac:dyDescent="0.15">
      <c r="B234" s="33"/>
      <c r="E234" s="35"/>
      <c r="H234" s="33"/>
      <c r="N234" s="114"/>
      <c r="O234" s="34"/>
      <c r="P234" s="33"/>
      <c r="Q234" s="33"/>
      <c r="AA234" s="33"/>
      <c r="AB234" s="33"/>
      <c r="AC234" s="33"/>
      <c r="AD234" s="139"/>
      <c r="AE234" s="33"/>
      <c r="AL234" s="35"/>
      <c r="AV234" s="35"/>
      <c r="AW234" s="35"/>
      <c r="AX234" s="35"/>
      <c r="AY234" s="36"/>
      <c r="BF234" s="35"/>
      <c r="BG234" s="35"/>
      <c r="BO234" s="35"/>
      <c r="BP234" s="35"/>
      <c r="BW234" s="36"/>
      <c r="BX234" s="36"/>
      <c r="BY234" s="36"/>
      <c r="BZ234" s="36"/>
      <c r="CY234" s="33"/>
    </row>
    <row r="235" spans="2:103" s="32" customFormat="1" x14ac:dyDescent="0.15">
      <c r="B235" s="33"/>
      <c r="E235" s="35"/>
      <c r="H235" s="33"/>
      <c r="N235" s="114"/>
      <c r="O235" s="34"/>
      <c r="P235" s="33"/>
      <c r="Q235" s="33"/>
      <c r="AA235" s="33"/>
      <c r="AB235" s="33"/>
      <c r="AC235" s="33"/>
      <c r="AD235" s="139"/>
      <c r="AE235" s="33"/>
      <c r="AL235" s="35"/>
      <c r="AV235" s="35"/>
      <c r="AW235" s="35"/>
      <c r="AX235" s="35"/>
      <c r="AY235" s="36"/>
      <c r="BF235" s="35"/>
      <c r="BG235" s="35"/>
      <c r="BO235" s="35"/>
      <c r="BP235" s="35"/>
      <c r="BW235" s="36"/>
      <c r="BX235" s="36"/>
      <c r="BY235" s="36"/>
      <c r="BZ235" s="36"/>
      <c r="CY235" s="33"/>
    </row>
    <row r="236" spans="2:103" s="32" customFormat="1" x14ac:dyDescent="0.15">
      <c r="B236" s="33"/>
      <c r="E236" s="35"/>
      <c r="H236" s="33"/>
      <c r="N236" s="114"/>
      <c r="O236" s="34"/>
      <c r="P236" s="33"/>
      <c r="Q236" s="33"/>
      <c r="AA236" s="33"/>
      <c r="AB236" s="33"/>
      <c r="AC236" s="33"/>
      <c r="AD236" s="139"/>
      <c r="AE236" s="33"/>
      <c r="AL236" s="35"/>
      <c r="AV236" s="35"/>
      <c r="AW236" s="35"/>
      <c r="AX236" s="35"/>
      <c r="AY236" s="36"/>
      <c r="BF236" s="35"/>
      <c r="BG236" s="35"/>
      <c r="BO236" s="35"/>
      <c r="BP236" s="35"/>
      <c r="BW236" s="36"/>
      <c r="BX236" s="36"/>
      <c r="BY236" s="36"/>
      <c r="BZ236" s="36"/>
      <c r="CY236" s="33"/>
    </row>
    <row r="237" spans="2:103" s="32" customFormat="1" x14ac:dyDescent="0.15">
      <c r="B237" s="33"/>
      <c r="E237" s="35"/>
      <c r="H237" s="33"/>
      <c r="N237" s="114"/>
      <c r="O237" s="34"/>
      <c r="P237" s="33"/>
      <c r="Q237" s="33"/>
      <c r="AA237" s="33"/>
      <c r="AB237" s="33"/>
      <c r="AC237" s="33"/>
      <c r="AD237" s="139"/>
      <c r="AE237" s="33"/>
      <c r="AL237" s="35"/>
      <c r="AV237" s="35"/>
      <c r="AW237" s="35"/>
      <c r="AX237" s="35"/>
      <c r="AY237" s="36"/>
      <c r="BF237" s="35"/>
      <c r="BG237" s="35"/>
      <c r="BO237" s="35"/>
      <c r="BP237" s="35"/>
      <c r="BW237" s="36"/>
      <c r="BX237" s="36"/>
      <c r="BY237" s="36"/>
      <c r="BZ237" s="36"/>
      <c r="CY237" s="33"/>
    </row>
    <row r="238" spans="2:103" s="32" customFormat="1" x14ac:dyDescent="0.15">
      <c r="B238" s="33"/>
      <c r="E238" s="35"/>
      <c r="H238" s="33"/>
      <c r="N238" s="114"/>
      <c r="O238" s="34"/>
      <c r="P238" s="33"/>
      <c r="Q238" s="33"/>
      <c r="AA238" s="33"/>
      <c r="AB238" s="33"/>
      <c r="AC238" s="33"/>
      <c r="AD238" s="139"/>
      <c r="AE238" s="33"/>
      <c r="AL238" s="35"/>
      <c r="AV238" s="35"/>
      <c r="AW238" s="35"/>
      <c r="AX238" s="35"/>
      <c r="AY238" s="36"/>
      <c r="BF238" s="35"/>
      <c r="BG238" s="35"/>
      <c r="BO238" s="35"/>
      <c r="BP238" s="35"/>
      <c r="BW238" s="36"/>
      <c r="BX238" s="36"/>
      <c r="BY238" s="36"/>
      <c r="BZ238" s="36"/>
      <c r="CY238" s="33"/>
    </row>
    <row r="239" spans="2:103" s="32" customFormat="1" x14ac:dyDescent="0.15">
      <c r="B239" s="33"/>
      <c r="E239" s="35"/>
      <c r="H239" s="33"/>
      <c r="N239" s="114"/>
      <c r="O239" s="34"/>
      <c r="P239" s="33"/>
      <c r="Q239" s="33"/>
      <c r="AA239" s="33"/>
      <c r="AB239" s="33"/>
      <c r="AC239" s="33"/>
      <c r="AD239" s="139"/>
      <c r="AE239" s="33"/>
      <c r="AL239" s="35"/>
      <c r="AV239" s="35"/>
      <c r="AW239" s="35"/>
      <c r="AX239" s="35"/>
      <c r="AY239" s="36"/>
      <c r="BF239" s="35"/>
      <c r="BG239" s="35"/>
      <c r="BO239" s="35"/>
      <c r="BP239" s="35"/>
      <c r="BW239" s="36"/>
      <c r="BX239" s="36"/>
      <c r="BY239" s="36"/>
      <c r="BZ239" s="36"/>
      <c r="CY239" s="33"/>
    </row>
    <row r="240" spans="2:103" s="32" customFormat="1" x14ac:dyDescent="0.15">
      <c r="B240" s="33"/>
      <c r="E240" s="35"/>
      <c r="H240" s="33"/>
      <c r="N240" s="114"/>
      <c r="O240" s="34"/>
      <c r="P240" s="33"/>
      <c r="Q240" s="33"/>
      <c r="AA240" s="33"/>
      <c r="AB240" s="33"/>
      <c r="AC240" s="33"/>
      <c r="AD240" s="139"/>
      <c r="AE240" s="33"/>
      <c r="AL240" s="35"/>
      <c r="AV240" s="35"/>
      <c r="AW240" s="35"/>
      <c r="AX240" s="35"/>
      <c r="AY240" s="36"/>
      <c r="BF240" s="35"/>
      <c r="BG240" s="35"/>
      <c r="BO240" s="35"/>
      <c r="BP240" s="35"/>
      <c r="BW240" s="36"/>
      <c r="BX240" s="36"/>
      <c r="BY240" s="36"/>
      <c r="BZ240" s="36"/>
      <c r="CY240" s="33"/>
    </row>
    <row r="241" spans="2:103" s="32" customFormat="1" x14ac:dyDescent="0.15">
      <c r="B241" s="33"/>
      <c r="E241" s="35"/>
      <c r="H241" s="33"/>
      <c r="N241" s="114"/>
      <c r="O241" s="34"/>
      <c r="P241" s="33"/>
      <c r="Q241" s="33"/>
      <c r="AA241" s="33"/>
      <c r="AB241" s="33"/>
      <c r="AC241" s="33"/>
      <c r="AD241" s="139"/>
      <c r="AE241" s="33"/>
      <c r="AL241" s="35"/>
      <c r="AV241" s="35"/>
      <c r="AW241" s="35"/>
      <c r="AX241" s="35"/>
      <c r="AY241" s="36"/>
      <c r="BF241" s="35"/>
      <c r="BG241" s="35"/>
      <c r="BO241" s="35"/>
      <c r="BP241" s="35"/>
      <c r="BW241" s="36"/>
      <c r="BX241" s="36"/>
      <c r="BY241" s="36"/>
      <c r="BZ241" s="36"/>
      <c r="CY241" s="33"/>
    </row>
    <row r="242" spans="2:103" s="32" customFormat="1" x14ac:dyDescent="0.15">
      <c r="B242" s="33"/>
      <c r="E242" s="35"/>
      <c r="H242" s="33"/>
      <c r="N242" s="114"/>
      <c r="O242" s="34"/>
      <c r="P242" s="33"/>
      <c r="Q242" s="33"/>
      <c r="AA242" s="33"/>
      <c r="AB242" s="33"/>
      <c r="AC242" s="33"/>
      <c r="AD242" s="139"/>
      <c r="AE242" s="33"/>
      <c r="AL242" s="35"/>
      <c r="AV242" s="35"/>
      <c r="AW242" s="35"/>
      <c r="AX242" s="35"/>
      <c r="AY242" s="36"/>
      <c r="BF242" s="35"/>
      <c r="BG242" s="35"/>
      <c r="BO242" s="35"/>
      <c r="BP242" s="35"/>
      <c r="BW242" s="36"/>
      <c r="BX242" s="36"/>
      <c r="BY242" s="36"/>
      <c r="BZ242" s="36"/>
      <c r="CY242" s="33"/>
    </row>
    <row r="243" spans="2:103" s="32" customFormat="1" x14ac:dyDescent="0.15">
      <c r="B243" s="33"/>
      <c r="E243" s="35"/>
      <c r="H243" s="33"/>
      <c r="N243" s="114"/>
      <c r="O243" s="34"/>
      <c r="P243" s="33"/>
      <c r="Q243" s="33"/>
      <c r="AA243" s="33"/>
      <c r="AB243" s="33"/>
      <c r="AC243" s="33"/>
      <c r="AD243" s="139"/>
      <c r="AE243" s="33"/>
      <c r="AL243" s="35"/>
      <c r="AV243" s="35"/>
      <c r="AW243" s="35"/>
      <c r="AX243" s="35"/>
      <c r="AY243" s="36"/>
      <c r="BF243" s="35"/>
      <c r="BG243" s="35"/>
      <c r="BO243" s="35"/>
      <c r="BP243" s="35"/>
      <c r="BW243" s="36"/>
      <c r="BX243" s="36"/>
      <c r="BY243" s="36"/>
      <c r="BZ243" s="36"/>
      <c r="CY243" s="33"/>
    </row>
    <row r="244" spans="2:103" s="32" customFormat="1" x14ac:dyDescent="0.15">
      <c r="B244" s="33"/>
      <c r="E244" s="35"/>
      <c r="H244" s="33"/>
      <c r="N244" s="114"/>
      <c r="O244" s="34"/>
      <c r="P244" s="33"/>
      <c r="Q244" s="33"/>
      <c r="AA244" s="33"/>
      <c r="AB244" s="33"/>
      <c r="AC244" s="33"/>
      <c r="AD244" s="139"/>
      <c r="AE244" s="33"/>
      <c r="AL244" s="35"/>
      <c r="AV244" s="35"/>
      <c r="AW244" s="35"/>
      <c r="AX244" s="35"/>
      <c r="AY244" s="36"/>
      <c r="BF244" s="35"/>
      <c r="BG244" s="35"/>
      <c r="BO244" s="35"/>
      <c r="BP244" s="35"/>
      <c r="BW244" s="36"/>
      <c r="BX244" s="36"/>
      <c r="BY244" s="36"/>
      <c r="BZ244" s="36"/>
      <c r="CY244" s="33"/>
    </row>
    <row r="245" spans="2:103" s="32" customFormat="1" x14ac:dyDescent="0.15">
      <c r="B245" s="33"/>
      <c r="E245" s="35"/>
      <c r="H245" s="33"/>
      <c r="N245" s="114"/>
      <c r="O245" s="34"/>
      <c r="P245" s="33"/>
      <c r="Q245" s="33"/>
      <c r="AA245" s="33"/>
      <c r="AB245" s="33"/>
      <c r="AC245" s="33"/>
      <c r="AD245" s="139"/>
      <c r="AE245" s="33"/>
      <c r="AL245" s="35"/>
      <c r="AV245" s="35"/>
      <c r="AW245" s="35"/>
      <c r="AX245" s="35"/>
      <c r="AY245" s="36"/>
      <c r="BF245" s="35"/>
      <c r="BG245" s="35"/>
      <c r="BO245" s="35"/>
      <c r="BP245" s="35"/>
      <c r="BW245" s="36"/>
      <c r="BX245" s="36"/>
      <c r="BY245" s="36"/>
      <c r="BZ245" s="36"/>
      <c r="CY245" s="33"/>
    </row>
    <row r="246" spans="2:103" s="32" customFormat="1" x14ac:dyDescent="0.15">
      <c r="B246" s="33"/>
      <c r="E246" s="35"/>
      <c r="H246" s="33"/>
      <c r="N246" s="114"/>
      <c r="O246" s="34"/>
      <c r="P246" s="33"/>
      <c r="Q246" s="33"/>
      <c r="AA246" s="33"/>
      <c r="AB246" s="33"/>
      <c r="AC246" s="33"/>
      <c r="AD246" s="139"/>
      <c r="AE246" s="33"/>
      <c r="AL246" s="35"/>
      <c r="AV246" s="35"/>
      <c r="AW246" s="35"/>
      <c r="AX246" s="35"/>
      <c r="AY246" s="36"/>
      <c r="BF246" s="35"/>
      <c r="BG246" s="35"/>
      <c r="BO246" s="35"/>
      <c r="BP246" s="35"/>
      <c r="BW246" s="36"/>
      <c r="BX246" s="36"/>
      <c r="BY246" s="36"/>
      <c r="BZ246" s="36"/>
      <c r="CY246" s="33"/>
    </row>
    <row r="247" spans="2:103" s="32" customFormat="1" x14ac:dyDescent="0.15">
      <c r="B247" s="33"/>
      <c r="E247" s="35"/>
      <c r="H247" s="33"/>
      <c r="N247" s="114"/>
      <c r="O247" s="34"/>
      <c r="P247" s="33"/>
      <c r="Q247" s="33"/>
      <c r="AA247" s="33"/>
      <c r="AB247" s="33"/>
      <c r="AC247" s="33"/>
      <c r="AD247" s="139"/>
      <c r="AE247" s="33"/>
      <c r="AL247" s="35"/>
      <c r="AV247" s="35"/>
      <c r="AW247" s="35"/>
      <c r="AX247" s="35"/>
      <c r="AY247" s="36"/>
      <c r="BF247" s="35"/>
      <c r="BG247" s="35"/>
      <c r="BO247" s="35"/>
      <c r="BP247" s="35"/>
      <c r="BW247" s="36"/>
      <c r="BX247" s="36"/>
      <c r="BY247" s="36"/>
      <c r="BZ247" s="36"/>
      <c r="CY247" s="33"/>
    </row>
    <row r="248" spans="2:103" s="32" customFormat="1" x14ac:dyDescent="0.15">
      <c r="B248" s="33"/>
      <c r="E248" s="35"/>
      <c r="H248" s="33"/>
      <c r="N248" s="114"/>
      <c r="O248" s="34"/>
      <c r="P248" s="33"/>
      <c r="Q248" s="33"/>
      <c r="AA248" s="33"/>
      <c r="AB248" s="33"/>
      <c r="AC248" s="33"/>
      <c r="AD248" s="139"/>
      <c r="AE248" s="33"/>
      <c r="AL248" s="35"/>
      <c r="AV248" s="35"/>
      <c r="AW248" s="35"/>
      <c r="AX248" s="35"/>
      <c r="AY248" s="36"/>
      <c r="BF248" s="35"/>
      <c r="BG248" s="35"/>
      <c r="BO248" s="35"/>
      <c r="BP248" s="35"/>
      <c r="BW248" s="36"/>
      <c r="BX248" s="36"/>
      <c r="BY248" s="36"/>
      <c r="BZ248" s="36"/>
      <c r="CY248" s="33"/>
    </row>
    <row r="249" spans="2:103" s="32" customFormat="1" x14ac:dyDescent="0.15">
      <c r="B249" s="33"/>
      <c r="E249" s="35"/>
      <c r="H249" s="33"/>
      <c r="N249" s="114"/>
      <c r="O249" s="34"/>
      <c r="P249" s="33"/>
      <c r="Q249" s="33"/>
      <c r="AA249" s="33"/>
      <c r="AB249" s="33"/>
      <c r="AC249" s="33"/>
      <c r="AD249" s="139"/>
      <c r="AE249" s="33"/>
      <c r="AL249" s="35"/>
      <c r="AV249" s="35"/>
      <c r="AW249" s="35"/>
      <c r="AX249" s="35"/>
      <c r="AY249" s="36"/>
      <c r="BF249" s="35"/>
      <c r="BG249" s="35"/>
      <c r="BO249" s="35"/>
      <c r="BP249" s="35"/>
      <c r="BW249" s="36"/>
      <c r="BX249" s="36"/>
      <c r="BY249" s="36"/>
      <c r="BZ249" s="36"/>
      <c r="CY249" s="33"/>
    </row>
    <row r="250" spans="2:103" s="32" customFormat="1" x14ac:dyDescent="0.15">
      <c r="B250" s="33"/>
      <c r="E250" s="35"/>
      <c r="H250" s="33"/>
      <c r="N250" s="114"/>
      <c r="O250" s="34"/>
      <c r="P250" s="33"/>
      <c r="Q250" s="33"/>
      <c r="AA250" s="33"/>
      <c r="AB250" s="33"/>
      <c r="AC250" s="33"/>
      <c r="AD250" s="139"/>
      <c r="AE250" s="33"/>
      <c r="AL250" s="35"/>
      <c r="AV250" s="35"/>
      <c r="AW250" s="35"/>
      <c r="AX250" s="35"/>
      <c r="AY250" s="36"/>
      <c r="BF250" s="35"/>
      <c r="BG250" s="35"/>
      <c r="BO250" s="35"/>
      <c r="BP250" s="35"/>
      <c r="BW250" s="36"/>
      <c r="BX250" s="36"/>
      <c r="BY250" s="36"/>
      <c r="BZ250" s="36"/>
      <c r="CY250" s="33"/>
    </row>
    <row r="251" spans="2:103" s="32" customFormat="1" x14ac:dyDescent="0.15">
      <c r="B251" s="33"/>
      <c r="E251" s="35"/>
      <c r="H251" s="33"/>
      <c r="N251" s="114"/>
      <c r="O251" s="34"/>
      <c r="P251" s="33"/>
      <c r="Q251" s="33"/>
      <c r="AA251" s="33"/>
      <c r="AB251" s="33"/>
      <c r="AC251" s="33"/>
      <c r="AD251" s="139"/>
      <c r="AE251" s="33"/>
      <c r="AL251" s="35"/>
      <c r="AV251" s="35"/>
      <c r="AW251" s="35"/>
      <c r="AX251" s="35"/>
      <c r="AY251" s="36"/>
      <c r="BF251" s="35"/>
      <c r="BG251" s="35"/>
      <c r="BO251" s="35"/>
      <c r="BP251" s="35"/>
      <c r="BW251" s="36"/>
      <c r="BX251" s="36"/>
      <c r="BY251" s="36"/>
      <c r="BZ251" s="36"/>
      <c r="CY251" s="33"/>
    </row>
    <row r="252" spans="2:103" s="32" customFormat="1" x14ac:dyDescent="0.15">
      <c r="B252" s="33"/>
      <c r="E252" s="35"/>
      <c r="H252" s="33"/>
      <c r="N252" s="114"/>
      <c r="O252" s="34"/>
      <c r="P252" s="33"/>
      <c r="Q252" s="33"/>
      <c r="AA252" s="33"/>
      <c r="AB252" s="33"/>
      <c r="AC252" s="33"/>
      <c r="AD252" s="139"/>
      <c r="AE252" s="33"/>
      <c r="AL252" s="35"/>
      <c r="AV252" s="35"/>
      <c r="AW252" s="35"/>
      <c r="AX252" s="35"/>
      <c r="AY252" s="36"/>
      <c r="BF252" s="35"/>
      <c r="BG252" s="35"/>
      <c r="BO252" s="35"/>
      <c r="BP252" s="35"/>
      <c r="BW252" s="36"/>
      <c r="BX252" s="36"/>
      <c r="BY252" s="36"/>
      <c r="BZ252" s="36"/>
      <c r="CY252" s="33"/>
    </row>
    <row r="253" spans="2:103" s="32" customFormat="1" x14ac:dyDescent="0.15">
      <c r="B253" s="33"/>
      <c r="E253" s="35"/>
      <c r="H253" s="33"/>
      <c r="N253" s="114"/>
      <c r="O253" s="34"/>
      <c r="P253" s="33"/>
      <c r="Q253" s="33"/>
      <c r="AA253" s="33"/>
      <c r="AB253" s="33"/>
      <c r="AC253" s="33"/>
      <c r="AD253" s="139"/>
      <c r="AE253" s="33"/>
      <c r="AL253" s="35"/>
      <c r="AV253" s="35"/>
      <c r="AW253" s="35"/>
      <c r="AX253" s="35"/>
      <c r="AY253" s="36"/>
      <c r="BF253" s="35"/>
      <c r="BG253" s="35"/>
      <c r="BO253" s="35"/>
      <c r="BP253" s="35"/>
      <c r="BW253" s="36"/>
      <c r="BX253" s="36"/>
      <c r="BY253" s="36"/>
      <c r="BZ253" s="36"/>
      <c r="CY253" s="33"/>
    </row>
    <row r="254" spans="2:103" s="32" customFormat="1" x14ac:dyDescent="0.15">
      <c r="B254" s="33"/>
      <c r="E254" s="35"/>
      <c r="H254" s="33"/>
      <c r="N254" s="114"/>
      <c r="O254" s="34"/>
      <c r="P254" s="33"/>
      <c r="Q254" s="33"/>
      <c r="AA254" s="33"/>
      <c r="AB254" s="33"/>
      <c r="AC254" s="33"/>
      <c r="AD254" s="139"/>
      <c r="AE254" s="33"/>
      <c r="AL254" s="35"/>
      <c r="AV254" s="35"/>
      <c r="AW254" s="35"/>
      <c r="AX254" s="35"/>
      <c r="AY254" s="36"/>
      <c r="BF254" s="35"/>
      <c r="BG254" s="35"/>
      <c r="BO254" s="35"/>
      <c r="BP254" s="35"/>
      <c r="BW254" s="36"/>
      <c r="BX254" s="36"/>
      <c r="BY254" s="36"/>
      <c r="BZ254" s="36"/>
      <c r="CY254" s="33"/>
    </row>
    <row r="255" spans="2:103" s="32" customFormat="1" x14ac:dyDescent="0.15">
      <c r="B255" s="33"/>
      <c r="E255" s="35"/>
      <c r="H255" s="33"/>
      <c r="N255" s="114"/>
      <c r="O255" s="34"/>
      <c r="P255" s="33"/>
      <c r="Q255" s="33"/>
      <c r="AA255" s="33"/>
      <c r="AB255" s="33"/>
      <c r="AC255" s="33"/>
      <c r="AD255" s="139"/>
      <c r="AE255" s="33"/>
      <c r="AL255" s="35"/>
      <c r="AV255" s="35"/>
      <c r="AW255" s="35"/>
      <c r="AX255" s="35"/>
      <c r="AY255" s="36"/>
      <c r="BF255" s="35"/>
      <c r="BG255" s="35"/>
      <c r="BO255" s="35"/>
      <c r="BP255" s="35"/>
      <c r="BW255" s="36"/>
      <c r="BX255" s="36"/>
      <c r="BY255" s="36"/>
      <c r="BZ255" s="36"/>
      <c r="CY255" s="33"/>
    </row>
    <row r="256" spans="2:103" s="32" customFormat="1" x14ac:dyDescent="0.15">
      <c r="B256" s="33"/>
      <c r="E256" s="35"/>
      <c r="H256" s="33"/>
      <c r="N256" s="114"/>
      <c r="O256" s="34"/>
      <c r="P256" s="33"/>
      <c r="Q256" s="33"/>
      <c r="AA256" s="33"/>
      <c r="AB256" s="33"/>
      <c r="AC256" s="33"/>
      <c r="AD256" s="139"/>
      <c r="AE256" s="33"/>
      <c r="AL256" s="35"/>
      <c r="AV256" s="35"/>
      <c r="AW256" s="35"/>
      <c r="AX256" s="35"/>
      <c r="AY256" s="36"/>
      <c r="BF256" s="35"/>
      <c r="BG256" s="35"/>
      <c r="BO256" s="35"/>
      <c r="BP256" s="35"/>
      <c r="BW256" s="36"/>
      <c r="BX256" s="36"/>
      <c r="BY256" s="36"/>
      <c r="BZ256" s="36"/>
      <c r="CY256" s="33"/>
    </row>
    <row r="257" spans="2:103" s="32" customFormat="1" x14ac:dyDescent="0.15">
      <c r="B257" s="33"/>
      <c r="E257" s="35"/>
      <c r="H257" s="33"/>
      <c r="N257" s="114"/>
      <c r="O257" s="34"/>
      <c r="P257" s="33"/>
      <c r="Q257" s="33"/>
      <c r="AA257" s="33"/>
      <c r="AB257" s="33"/>
      <c r="AC257" s="33"/>
      <c r="AD257" s="139"/>
      <c r="AE257" s="33"/>
      <c r="AL257" s="35"/>
      <c r="AV257" s="35"/>
      <c r="AW257" s="35"/>
      <c r="AX257" s="35"/>
      <c r="AY257" s="36"/>
      <c r="BF257" s="35"/>
      <c r="BG257" s="35"/>
      <c r="BO257" s="35"/>
      <c r="BP257" s="35"/>
      <c r="BW257" s="36"/>
      <c r="BX257" s="36"/>
      <c r="BY257" s="36"/>
      <c r="BZ257" s="36"/>
      <c r="CY257" s="33"/>
    </row>
    <row r="258" spans="2:103" s="32" customFormat="1" x14ac:dyDescent="0.15">
      <c r="B258" s="33"/>
      <c r="E258" s="35"/>
      <c r="H258" s="33"/>
      <c r="N258" s="114"/>
      <c r="O258" s="34"/>
      <c r="P258" s="33"/>
      <c r="Q258" s="33"/>
      <c r="AA258" s="33"/>
      <c r="AB258" s="33"/>
      <c r="AC258" s="33"/>
      <c r="AD258" s="139"/>
      <c r="AE258" s="33"/>
      <c r="AL258" s="35"/>
      <c r="AV258" s="35"/>
      <c r="AW258" s="35"/>
      <c r="AX258" s="35"/>
      <c r="AY258" s="36"/>
      <c r="BF258" s="35"/>
      <c r="BG258" s="35"/>
      <c r="BO258" s="35"/>
      <c r="BP258" s="35"/>
      <c r="BW258" s="36"/>
      <c r="BX258" s="36"/>
      <c r="BY258" s="36"/>
      <c r="BZ258" s="36"/>
      <c r="CY258" s="33"/>
    </row>
    <row r="259" spans="2:103" s="32" customFormat="1" x14ac:dyDescent="0.15">
      <c r="B259" s="33"/>
      <c r="E259" s="35"/>
      <c r="H259" s="33"/>
      <c r="N259" s="114"/>
      <c r="O259" s="34"/>
      <c r="P259" s="33"/>
      <c r="Q259" s="33"/>
      <c r="AA259" s="33"/>
      <c r="AB259" s="33"/>
      <c r="AC259" s="33"/>
      <c r="AD259" s="139"/>
      <c r="AE259" s="33"/>
      <c r="AL259" s="35"/>
      <c r="AV259" s="35"/>
      <c r="AW259" s="35"/>
      <c r="AX259" s="35"/>
      <c r="AY259" s="36"/>
      <c r="BF259" s="35"/>
      <c r="BG259" s="35"/>
      <c r="BO259" s="35"/>
      <c r="BP259" s="35"/>
      <c r="BW259" s="36"/>
      <c r="BX259" s="36"/>
      <c r="BY259" s="36"/>
      <c r="BZ259" s="36"/>
      <c r="CY259" s="33"/>
    </row>
    <row r="260" spans="2:103" s="32" customFormat="1" x14ac:dyDescent="0.15">
      <c r="B260" s="33"/>
      <c r="E260" s="35"/>
      <c r="H260" s="33"/>
      <c r="N260" s="114"/>
      <c r="O260" s="34"/>
      <c r="P260" s="33"/>
      <c r="Q260" s="33"/>
      <c r="AA260" s="33"/>
      <c r="AB260" s="33"/>
      <c r="AC260" s="33"/>
      <c r="AD260" s="139"/>
      <c r="AE260" s="33"/>
      <c r="AL260" s="35"/>
      <c r="AV260" s="35"/>
      <c r="AW260" s="35"/>
      <c r="AX260" s="35"/>
      <c r="AY260" s="36"/>
      <c r="BF260" s="35"/>
      <c r="BG260" s="35"/>
      <c r="BO260" s="35"/>
      <c r="BP260" s="35"/>
      <c r="BW260" s="36"/>
      <c r="BX260" s="36"/>
      <c r="BY260" s="36"/>
      <c r="BZ260" s="36"/>
      <c r="CY260" s="33"/>
    </row>
    <row r="261" spans="2:103" s="32" customFormat="1" x14ac:dyDescent="0.15">
      <c r="B261" s="33"/>
      <c r="E261" s="35"/>
      <c r="H261" s="33"/>
      <c r="N261" s="114"/>
      <c r="O261" s="34"/>
      <c r="P261" s="33"/>
      <c r="Q261" s="33"/>
      <c r="AA261" s="33"/>
      <c r="AB261" s="33"/>
      <c r="AC261" s="33"/>
      <c r="AD261" s="139"/>
      <c r="AE261" s="33"/>
      <c r="AL261" s="35"/>
      <c r="AV261" s="35"/>
      <c r="AW261" s="35"/>
      <c r="AX261" s="35"/>
      <c r="AY261" s="36"/>
      <c r="BF261" s="35"/>
      <c r="BG261" s="35"/>
      <c r="BO261" s="35"/>
      <c r="BP261" s="35"/>
      <c r="BW261" s="36"/>
      <c r="BX261" s="36"/>
      <c r="BY261" s="36"/>
      <c r="BZ261" s="36"/>
      <c r="CY261" s="33"/>
    </row>
    <row r="262" spans="2:103" s="32" customFormat="1" x14ac:dyDescent="0.15">
      <c r="B262" s="33"/>
      <c r="E262" s="35"/>
      <c r="H262" s="33"/>
      <c r="N262" s="114"/>
      <c r="O262" s="34"/>
      <c r="P262" s="33"/>
      <c r="Q262" s="33"/>
      <c r="AA262" s="33"/>
      <c r="AB262" s="33"/>
      <c r="AC262" s="33"/>
      <c r="AD262" s="139"/>
      <c r="AE262" s="33"/>
      <c r="AL262" s="35"/>
      <c r="AV262" s="35"/>
      <c r="AW262" s="35"/>
      <c r="AX262" s="35"/>
      <c r="AY262" s="36"/>
      <c r="BF262" s="35"/>
      <c r="BG262" s="35"/>
      <c r="BO262" s="35"/>
      <c r="BP262" s="35"/>
      <c r="BW262" s="36"/>
      <c r="BX262" s="36"/>
      <c r="BY262" s="36"/>
      <c r="BZ262" s="36"/>
      <c r="CY262" s="33"/>
    </row>
    <row r="263" spans="2:103" s="32" customFormat="1" x14ac:dyDescent="0.15">
      <c r="B263" s="33"/>
      <c r="E263" s="35"/>
      <c r="H263" s="33"/>
      <c r="N263" s="114"/>
      <c r="O263" s="34"/>
      <c r="P263" s="33"/>
      <c r="Q263" s="33"/>
      <c r="AA263" s="33"/>
      <c r="AB263" s="33"/>
      <c r="AC263" s="33"/>
      <c r="AD263" s="139"/>
      <c r="AE263" s="33"/>
      <c r="AL263" s="35"/>
      <c r="AV263" s="35"/>
      <c r="AW263" s="35"/>
      <c r="AX263" s="35"/>
      <c r="AY263" s="36"/>
      <c r="BF263" s="35"/>
      <c r="BG263" s="35"/>
      <c r="BO263" s="35"/>
      <c r="BP263" s="35"/>
      <c r="BW263" s="36"/>
      <c r="BX263" s="36"/>
      <c r="BY263" s="36"/>
      <c r="BZ263" s="36"/>
      <c r="CY263" s="33"/>
    </row>
    <row r="264" spans="2:103" s="32" customFormat="1" x14ac:dyDescent="0.15">
      <c r="B264" s="33"/>
      <c r="E264" s="35"/>
      <c r="H264" s="33"/>
      <c r="N264" s="114"/>
      <c r="O264" s="34"/>
      <c r="P264" s="33"/>
      <c r="Q264" s="33"/>
      <c r="AA264" s="33"/>
      <c r="AB264" s="33"/>
      <c r="AC264" s="33"/>
      <c r="AD264" s="139"/>
      <c r="AE264" s="33"/>
      <c r="AL264" s="35"/>
      <c r="AV264" s="35"/>
      <c r="AW264" s="35"/>
      <c r="AX264" s="35"/>
      <c r="AY264" s="36"/>
      <c r="BF264" s="35"/>
      <c r="BG264" s="35"/>
      <c r="BO264" s="35"/>
      <c r="BP264" s="35"/>
      <c r="BW264" s="36"/>
      <c r="BX264" s="36"/>
      <c r="BY264" s="36"/>
      <c r="BZ264" s="36"/>
      <c r="CY264" s="33"/>
    </row>
    <row r="265" spans="2:103" s="32" customFormat="1" x14ac:dyDescent="0.15">
      <c r="B265" s="33"/>
      <c r="E265" s="35"/>
      <c r="H265" s="33"/>
      <c r="N265" s="114"/>
      <c r="O265" s="34"/>
      <c r="P265" s="33"/>
      <c r="Q265" s="33"/>
      <c r="AA265" s="33"/>
      <c r="AB265" s="33"/>
      <c r="AC265" s="33"/>
      <c r="AD265" s="139"/>
      <c r="AE265" s="33"/>
      <c r="AL265" s="35"/>
      <c r="AV265" s="35"/>
      <c r="AW265" s="35"/>
      <c r="AX265" s="35"/>
      <c r="AY265" s="36"/>
      <c r="BF265" s="35"/>
      <c r="BG265" s="35"/>
      <c r="BO265" s="35"/>
      <c r="BP265" s="35"/>
      <c r="BW265" s="36"/>
      <c r="BX265" s="36"/>
      <c r="BY265" s="36"/>
      <c r="BZ265" s="36"/>
      <c r="CY265" s="33"/>
    </row>
    <row r="266" spans="2:103" s="32" customFormat="1" x14ac:dyDescent="0.15">
      <c r="B266" s="33"/>
      <c r="E266" s="35"/>
      <c r="H266" s="33"/>
      <c r="N266" s="114"/>
      <c r="O266" s="34"/>
      <c r="P266" s="33"/>
      <c r="Q266" s="33"/>
      <c r="AA266" s="33"/>
      <c r="AB266" s="33"/>
      <c r="AC266" s="33"/>
      <c r="AD266" s="139"/>
      <c r="AE266" s="33"/>
      <c r="AL266" s="35"/>
      <c r="AV266" s="35"/>
      <c r="AW266" s="35"/>
      <c r="AX266" s="35"/>
      <c r="AY266" s="36"/>
      <c r="BF266" s="35"/>
      <c r="BG266" s="35"/>
      <c r="BO266" s="35"/>
      <c r="BP266" s="35"/>
      <c r="BW266" s="36"/>
      <c r="BX266" s="36"/>
      <c r="BY266" s="36"/>
      <c r="BZ266" s="36"/>
      <c r="CY266" s="33"/>
    </row>
    <row r="267" spans="2:103" s="32" customFormat="1" x14ac:dyDescent="0.15">
      <c r="B267" s="33"/>
      <c r="E267" s="35"/>
      <c r="H267" s="33"/>
      <c r="N267" s="114"/>
      <c r="O267" s="34"/>
      <c r="P267" s="33"/>
      <c r="Q267" s="33"/>
      <c r="AA267" s="33"/>
      <c r="AB267" s="33"/>
      <c r="AC267" s="33"/>
      <c r="AD267" s="139"/>
      <c r="AE267" s="33"/>
      <c r="AL267" s="35"/>
      <c r="AV267" s="35"/>
      <c r="AW267" s="35"/>
      <c r="AX267" s="35"/>
      <c r="AY267" s="36"/>
      <c r="BF267" s="35"/>
      <c r="BG267" s="35"/>
      <c r="BO267" s="35"/>
      <c r="BP267" s="35"/>
      <c r="BW267" s="36"/>
      <c r="BX267" s="36"/>
      <c r="BY267" s="36"/>
      <c r="BZ267" s="36"/>
      <c r="CY267" s="33"/>
    </row>
    <row r="268" spans="2:103" s="32" customFormat="1" x14ac:dyDescent="0.15">
      <c r="B268" s="33"/>
      <c r="E268" s="35"/>
      <c r="H268" s="33"/>
      <c r="N268" s="114"/>
      <c r="O268" s="34"/>
      <c r="P268" s="33"/>
      <c r="Q268" s="33"/>
      <c r="AA268" s="33"/>
      <c r="AB268" s="33"/>
      <c r="AC268" s="33"/>
      <c r="AD268" s="139"/>
      <c r="AE268" s="33"/>
      <c r="AL268" s="35"/>
      <c r="AV268" s="35"/>
      <c r="AW268" s="35"/>
      <c r="AX268" s="35"/>
      <c r="AY268" s="36"/>
      <c r="BF268" s="35"/>
      <c r="BG268" s="35"/>
      <c r="BO268" s="35"/>
      <c r="BP268" s="35"/>
      <c r="BW268" s="36"/>
      <c r="BX268" s="36"/>
      <c r="BY268" s="36"/>
      <c r="BZ268" s="36"/>
      <c r="CY268" s="33"/>
    </row>
    <row r="269" spans="2:103" s="32" customFormat="1" x14ac:dyDescent="0.15">
      <c r="B269" s="33"/>
      <c r="E269" s="35"/>
      <c r="H269" s="33"/>
      <c r="N269" s="114"/>
      <c r="O269" s="34"/>
      <c r="P269" s="33"/>
      <c r="Q269" s="33"/>
      <c r="AA269" s="33"/>
      <c r="AB269" s="33"/>
      <c r="AC269" s="33"/>
      <c r="AD269" s="139"/>
      <c r="AE269" s="33"/>
      <c r="AL269" s="35"/>
      <c r="AV269" s="35"/>
      <c r="AW269" s="35"/>
      <c r="AX269" s="35"/>
      <c r="AY269" s="36"/>
      <c r="BF269" s="35"/>
      <c r="BG269" s="35"/>
      <c r="BO269" s="35"/>
      <c r="BP269" s="35"/>
      <c r="BW269" s="36"/>
      <c r="BX269" s="36"/>
      <c r="BY269" s="36"/>
      <c r="BZ269" s="36"/>
      <c r="CY269" s="33"/>
    </row>
    <row r="270" spans="2:103" s="32" customFormat="1" x14ac:dyDescent="0.15">
      <c r="B270" s="33"/>
      <c r="E270" s="35"/>
      <c r="H270" s="33"/>
      <c r="N270" s="114"/>
      <c r="O270" s="34"/>
      <c r="P270" s="33"/>
      <c r="Q270" s="33"/>
      <c r="AA270" s="33"/>
      <c r="AB270" s="33"/>
      <c r="AC270" s="33"/>
      <c r="AD270" s="139"/>
      <c r="AE270" s="33"/>
      <c r="AL270" s="35"/>
      <c r="AV270" s="35"/>
      <c r="AW270" s="35"/>
      <c r="AX270" s="35"/>
      <c r="AY270" s="36"/>
      <c r="BF270" s="35"/>
      <c r="BG270" s="35"/>
      <c r="BO270" s="35"/>
      <c r="BP270" s="35"/>
      <c r="BW270" s="36"/>
      <c r="BX270" s="36"/>
      <c r="BY270" s="36"/>
      <c r="BZ270" s="36"/>
      <c r="CY270" s="33"/>
    </row>
    <row r="271" spans="2:103" s="32" customFormat="1" x14ac:dyDescent="0.15">
      <c r="B271" s="33"/>
      <c r="E271" s="35"/>
      <c r="H271" s="33"/>
      <c r="N271" s="114"/>
      <c r="O271" s="34"/>
      <c r="P271" s="33"/>
      <c r="Q271" s="33"/>
      <c r="AA271" s="33"/>
      <c r="AB271" s="33"/>
      <c r="AC271" s="33"/>
      <c r="AD271" s="139"/>
      <c r="AE271" s="33"/>
      <c r="AL271" s="35"/>
      <c r="AV271" s="35"/>
      <c r="AW271" s="35"/>
      <c r="AX271" s="35"/>
      <c r="AY271" s="36"/>
      <c r="BF271" s="35"/>
      <c r="BG271" s="35"/>
      <c r="BO271" s="35"/>
      <c r="BP271" s="35"/>
      <c r="BW271" s="36"/>
      <c r="BX271" s="36"/>
      <c r="BY271" s="36"/>
      <c r="BZ271" s="36"/>
      <c r="CY271" s="33"/>
    </row>
    <row r="272" spans="2:103" s="32" customFormat="1" x14ac:dyDescent="0.15">
      <c r="B272" s="33"/>
      <c r="E272" s="35"/>
      <c r="H272" s="33"/>
      <c r="N272" s="114"/>
      <c r="O272" s="34"/>
      <c r="P272" s="33"/>
      <c r="Q272" s="33"/>
      <c r="AA272" s="33"/>
      <c r="AB272" s="33"/>
      <c r="AC272" s="33"/>
      <c r="AD272" s="139"/>
      <c r="AE272" s="33"/>
      <c r="AL272" s="35"/>
      <c r="AV272" s="35"/>
      <c r="AW272" s="35"/>
      <c r="AX272" s="35"/>
      <c r="AY272" s="36"/>
      <c r="BF272" s="35"/>
      <c r="BG272" s="35"/>
      <c r="BO272" s="35"/>
      <c r="BP272" s="35"/>
      <c r="BW272" s="36"/>
      <c r="BX272" s="36"/>
      <c r="BY272" s="36"/>
      <c r="BZ272" s="36"/>
      <c r="CY272" s="33"/>
    </row>
    <row r="273" spans="2:103" s="32" customFormat="1" x14ac:dyDescent="0.15">
      <c r="B273" s="33"/>
      <c r="E273" s="35"/>
      <c r="H273" s="33"/>
      <c r="N273" s="114"/>
      <c r="O273" s="34"/>
      <c r="P273" s="33"/>
      <c r="Q273" s="33"/>
      <c r="AA273" s="33"/>
      <c r="AB273" s="33"/>
      <c r="AC273" s="33"/>
      <c r="AD273" s="139"/>
      <c r="AE273" s="33"/>
      <c r="AL273" s="35"/>
      <c r="AV273" s="35"/>
      <c r="AW273" s="35"/>
      <c r="AX273" s="35"/>
      <c r="AY273" s="36"/>
      <c r="BF273" s="35"/>
      <c r="BG273" s="35"/>
      <c r="BO273" s="35"/>
      <c r="BP273" s="35"/>
      <c r="BW273" s="36"/>
      <c r="BX273" s="36"/>
      <c r="BY273" s="36"/>
      <c r="BZ273" s="36"/>
      <c r="CY273" s="33"/>
    </row>
    <row r="274" spans="2:103" s="32" customFormat="1" x14ac:dyDescent="0.15">
      <c r="B274" s="33"/>
      <c r="E274" s="35"/>
      <c r="H274" s="33"/>
      <c r="N274" s="114"/>
      <c r="O274" s="34"/>
      <c r="P274" s="33"/>
      <c r="Q274" s="33"/>
      <c r="AA274" s="33"/>
      <c r="AB274" s="33"/>
      <c r="AC274" s="33"/>
      <c r="AD274" s="139"/>
      <c r="AE274" s="33"/>
      <c r="AL274" s="35"/>
      <c r="AV274" s="35"/>
      <c r="AW274" s="35"/>
      <c r="AX274" s="35"/>
      <c r="AY274" s="36"/>
      <c r="BF274" s="35"/>
      <c r="BG274" s="35"/>
      <c r="BO274" s="35"/>
      <c r="BP274" s="35"/>
      <c r="BW274" s="36"/>
      <c r="BX274" s="36"/>
      <c r="BY274" s="36"/>
      <c r="BZ274" s="36"/>
      <c r="CY274" s="33"/>
    </row>
    <row r="275" spans="2:103" s="32" customFormat="1" x14ac:dyDescent="0.15">
      <c r="B275" s="33"/>
      <c r="E275" s="35"/>
      <c r="H275" s="33"/>
      <c r="N275" s="114"/>
      <c r="O275" s="34"/>
      <c r="P275" s="33"/>
      <c r="Q275" s="33"/>
      <c r="AA275" s="33"/>
      <c r="AB275" s="33"/>
      <c r="AC275" s="33"/>
      <c r="AD275" s="139"/>
      <c r="AE275" s="33"/>
      <c r="AL275" s="35"/>
      <c r="AV275" s="35"/>
      <c r="AW275" s="35"/>
      <c r="AX275" s="35"/>
      <c r="AY275" s="36"/>
      <c r="BF275" s="35"/>
      <c r="BG275" s="35"/>
      <c r="BO275" s="35"/>
      <c r="BP275" s="35"/>
      <c r="BW275" s="36"/>
      <c r="BX275" s="36"/>
      <c r="BY275" s="36"/>
      <c r="BZ275" s="36"/>
      <c r="CY275" s="33"/>
    </row>
    <row r="276" spans="2:103" s="32" customFormat="1" x14ac:dyDescent="0.15">
      <c r="B276" s="33"/>
      <c r="E276" s="35"/>
      <c r="H276" s="33"/>
      <c r="N276" s="114"/>
      <c r="O276" s="34"/>
      <c r="P276" s="33"/>
      <c r="Q276" s="33"/>
      <c r="AA276" s="33"/>
      <c r="AB276" s="33"/>
      <c r="AC276" s="33"/>
      <c r="AD276" s="139"/>
      <c r="AE276" s="33"/>
      <c r="AL276" s="35"/>
      <c r="AV276" s="35"/>
      <c r="AW276" s="35"/>
      <c r="AX276" s="35"/>
      <c r="AY276" s="36"/>
      <c r="BF276" s="35"/>
      <c r="BG276" s="35"/>
      <c r="BO276" s="35"/>
      <c r="BP276" s="35"/>
      <c r="BW276" s="36"/>
      <c r="BX276" s="36"/>
      <c r="BY276" s="36"/>
      <c r="BZ276" s="36"/>
      <c r="CY276" s="33"/>
    </row>
    <row r="277" spans="2:103" s="32" customFormat="1" x14ac:dyDescent="0.15">
      <c r="B277" s="33"/>
      <c r="E277" s="35"/>
      <c r="H277" s="33"/>
      <c r="N277" s="114"/>
      <c r="O277" s="34"/>
      <c r="P277" s="33"/>
      <c r="Q277" s="33"/>
      <c r="AA277" s="33"/>
      <c r="AB277" s="33"/>
      <c r="AC277" s="33"/>
      <c r="AD277" s="139"/>
      <c r="AE277" s="33"/>
      <c r="AL277" s="35"/>
      <c r="AV277" s="35"/>
      <c r="AW277" s="35"/>
      <c r="AX277" s="35"/>
      <c r="AY277" s="36"/>
      <c r="BF277" s="35"/>
      <c r="BG277" s="35"/>
      <c r="BO277" s="35"/>
      <c r="BP277" s="35"/>
      <c r="BW277" s="36"/>
      <c r="BX277" s="36"/>
      <c r="BY277" s="36"/>
      <c r="BZ277" s="36"/>
      <c r="CY277" s="33"/>
    </row>
    <row r="278" spans="2:103" s="32" customFormat="1" x14ac:dyDescent="0.15">
      <c r="B278" s="33"/>
      <c r="E278" s="35"/>
      <c r="H278" s="33"/>
      <c r="N278" s="114"/>
      <c r="O278" s="34"/>
      <c r="P278" s="33"/>
      <c r="Q278" s="33"/>
      <c r="AA278" s="33"/>
      <c r="AB278" s="33"/>
      <c r="AC278" s="33"/>
      <c r="AD278" s="139"/>
      <c r="AE278" s="33"/>
      <c r="AL278" s="35"/>
      <c r="AV278" s="35"/>
      <c r="AW278" s="35"/>
      <c r="AX278" s="35"/>
      <c r="AY278" s="36"/>
      <c r="BF278" s="35"/>
      <c r="BG278" s="35"/>
      <c r="BO278" s="35"/>
      <c r="BP278" s="35"/>
      <c r="BW278" s="36"/>
      <c r="BX278" s="36"/>
      <c r="BY278" s="36"/>
      <c r="BZ278" s="36"/>
      <c r="CY278" s="33"/>
    </row>
    <row r="279" spans="2:103" s="32" customFormat="1" x14ac:dyDescent="0.15">
      <c r="B279" s="33"/>
      <c r="E279" s="35"/>
      <c r="H279" s="33"/>
      <c r="N279" s="114"/>
      <c r="O279" s="34"/>
      <c r="P279" s="33"/>
      <c r="Q279" s="33"/>
      <c r="AA279" s="33"/>
      <c r="AB279" s="33"/>
      <c r="AC279" s="33"/>
      <c r="AD279" s="139"/>
      <c r="AE279" s="33"/>
      <c r="AL279" s="35"/>
      <c r="AV279" s="35"/>
      <c r="AW279" s="35"/>
      <c r="AX279" s="35"/>
      <c r="AY279" s="36"/>
      <c r="BF279" s="35"/>
      <c r="BG279" s="35"/>
      <c r="BO279" s="35"/>
      <c r="BP279" s="35"/>
      <c r="BW279" s="36"/>
      <c r="BX279" s="36"/>
      <c r="BY279" s="36"/>
      <c r="BZ279" s="36"/>
      <c r="CY279" s="33"/>
    </row>
    <row r="280" spans="2:103" s="32" customFormat="1" x14ac:dyDescent="0.15">
      <c r="B280" s="33"/>
      <c r="E280" s="35"/>
      <c r="H280" s="33"/>
      <c r="N280" s="114"/>
      <c r="O280" s="34"/>
      <c r="P280" s="33"/>
      <c r="Q280" s="33"/>
      <c r="AA280" s="33"/>
      <c r="AB280" s="33"/>
      <c r="AC280" s="33"/>
      <c r="AD280" s="139"/>
      <c r="AE280" s="33"/>
      <c r="AL280" s="35"/>
      <c r="AV280" s="35"/>
      <c r="AW280" s="35"/>
      <c r="AX280" s="35"/>
      <c r="AY280" s="36"/>
      <c r="BF280" s="35"/>
      <c r="BG280" s="35"/>
      <c r="BO280" s="35"/>
      <c r="BP280" s="35"/>
      <c r="BW280" s="36"/>
      <c r="BX280" s="36"/>
      <c r="BY280" s="36"/>
      <c r="BZ280" s="36"/>
      <c r="CY280" s="33"/>
    </row>
    <row r="281" spans="2:103" s="32" customFormat="1" x14ac:dyDescent="0.15">
      <c r="B281" s="33"/>
      <c r="E281" s="35"/>
      <c r="H281" s="33"/>
      <c r="N281" s="114"/>
      <c r="O281" s="34"/>
      <c r="P281" s="33"/>
      <c r="Q281" s="33"/>
      <c r="AA281" s="33"/>
      <c r="AB281" s="33"/>
      <c r="AC281" s="33"/>
      <c r="AD281" s="139"/>
      <c r="AE281" s="33"/>
      <c r="AL281" s="35"/>
      <c r="AV281" s="35"/>
      <c r="AW281" s="35"/>
      <c r="AX281" s="35"/>
      <c r="AY281" s="36"/>
      <c r="BF281" s="35"/>
      <c r="BG281" s="35"/>
      <c r="BO281" s="35"/>
      <c r="BP281" s="35"/>
      <c r="BW281" s="36"/>
      <c r="BX281" s="36"/>
      <c r="BY281" s="36"/>
      <c r="BZ281" s="36"/>
      <c r="CY281" s="33"/>
    </row>
    <row r="282" spans="2:103" s="32" customFormat="1" x14ac:dyDescent="0.15">
      <c r="B282" s="33"/>
      <c r="E282" s="35"/>
      <c r="H282" s="33"/>
      <c r="N282" s="114"/>
      <c r="O282" s="34"/>
      <c r="P282" s="33"/>
      <c r="Q282" s="33"/>
      <c r="AA282" s="33"/>
      <c r="AB282" s="33"/>
      <c r="AC282" s="33"/>
      <c r="AD282" s="139"/>
      <c r="AE282" s="33"/>
      <c r="AL282" s="35"/>
      <c r="AV282" s="35"/>
      <c r="AW282" s="35"/>
      <c r="AX282" s="35"/>
      <c r="AY282" s="36"/>
      <c r="BF282" s="35"/>
      <c r="BG282" s="35"/>
      <c r="BO282" s="35"/>
      <c r="BP282" s="35"/>
      <c r="BW282" s="36"/>
      <c r="BX282" s="36"/>
      <c r="BY282" s="36"/>
      <c r="BZ282" s="36"/>
      <c r="CY282" s="33"/>
    </row>
    <row r="283" spans="2:103" s="32" customFormat="1" x14ac:dyDescent="0.15">
      <c r="B283" s="33"/>
      <c r="E283" s="35"/>
      <c r="H283" s="33"/>
      <c r="N283" s="114"/>
      <c r="O283" s="34"/>
      <c r="P283" s="33"/>
      <c r="Q283" s="33"/>
      <c r="AA283" s="33"/>
      <c r="AB283" s="33"/>
      <c r="AC283" s="33"/>
      <c r="AD283" s="139"/>
      <c r="AE283" s="33"/>
      <c r="AL283" s="35"/>
      <c r="AV283" s="35"/>
      <c r="AW283" s="35"/>
      <c r="AX283" s="35"/>
      <c r="AY283" s="36"/>
      <c r="BF283" s="35"/>
      <c r="BG283" s="35"/>
      <c r="BO283" s="35"/>
      <c r="BP283" s="35"/>
      <c r="BW283" s="36"/>
      <c r="BX283" s="36"/>
      <c r="BY283" s="36"/>
      <c r="BZ283" s="36"/>
      <c r="CY283" s="33"/>
    </row>
    <row r="284" spans="2:103" s="32" customFormat="1" x14ac:dyDescent="0.15">
      <c r="B284" s="33"/>
      <c r="E284" s="35"/>
      <c r="H284" s="33"/>
      <c r="N284" s="114"/>
      <c r="O284" s="34"/>
      <c r="P284" s="33"/>
      <c r="Q284" s="33"/>
      <c r="AA284" s="33"/>
      <c r="AB284" s="33"/>
      <c r="AC284" s="33"/>
      <c r="AD284" s="139"/>
      <c r="AE284" s="33"/>
      <c r="AL284" s="35"/>
      <c r="AV284" s="35"/>
      <c r="AW284" s="35"/>
      <c r="AX284" s="35"/>
      <c r="AY284" s="36"/>
      <c r="BF284" s="35"/>
      <c r="BG284" s="35"/>
      <c r="BO284" s="35"/>
      <c r="BP284" s="35"/>
      <c r="BW284" s="36"/>
      <c r="BX284" s="36"/>
      <c r="BY284" s="36"/>
      <c r="BZ284" s="36"/>
      <c r="CY284" s="33"/>
    </row>
    <row r="285" spans="2:103" s="32" customFormat="1" x14ac:dyDescent="0.15">
      <c r="B285" s="33"/>
      <c r="E285" s="35"/>
      <c r="H285" s="33"/>
      <c r="N285" s="114"/>
      <c r="O285" s="34"/>
      <c r="P285" s="33"/>
      <c r="Q285" s="33"/>
      <c r="AA285" s="33"/>
      <c r="AB285" s="33"/>
      <c r="AC285" s="33"/>
      <c r="AD285" s="139"/>
      <c r="AE285" s="33"/>
      <c r="AL285" s="35"/>
      <c r="AV285" s="35"/>
      <c r="AW285" s="35"/>
      <c r="AX285" s="35"/>
      <c r="AY285" s="36"/>
      <c r="BF285" s="35"/>
      <c r="BG285" s="35"/>
      <c r="BO285" s="35"/>
      <c r="BP285" s="35"/>
      <c r="BW285" s="36"/>
      <c r="BX285" s="36"/>
      <c r="BY285" s="36"/>
      <c r="BZ285" s="36"/>
      <c r="CY285" s="33"/>
    </row>
    <row r="286" spans="2:103" s="32" customFormat="1" x14ac:dyDescent="0.15">
      <c r="B286" s="33"/>
      <c r="E286" s="35"/>
      <c r="H286" s="33"/>
      <c r="N286" s="114"/>
      <c r="O286" s="34"/>
      <c r="P286" s="33"/>
      <c r="Q286" s="33"/>
      <c r="AA286" s="33"/>
      <c r="AB286" s="33"/>
      <c r="AC286" s="33"/>
      <c r="AD286" s="139"/>
      <c r="AE286" s="33"/>
      <c r="AL286" s="35"/>
      <c r="AV286" s="35"/>
      <c r="AW286" s="35"/>
      <c r="AX286" s="35"/>
      <c r="AY286" s="36"/>
      <c r="BF286" s="35"/>
      <c r="BG286" s="35"/>
      <c r="BO286" s="35"/>
      <c r="BP286" s="35"/>
      <c r="BW286" s="36"/>
      <c r="BX286" s="36"/>
      <c r="BY286" s="36"/>
      <c r="BZ286" s="36"/>
      <c r="CY286" s="33"/>
    </row>
    <row r="287" spans="2:103" s="32" customFormat="1" x14ac:dyDescent="0.15">
      <c r="B287" s="33"/>
      <c r="E287" s="35"/>
      <c r="H287" s="33"/>
      <c r="N287" s="114"/>
      <c r="O287" s="34"/>
      <c r="P287" s="33"/>
      <c r="Q287" s="33"/>
      <c r="AA287" s="33"/>
      <c r="AB287" s="33"/>
      <c r="AC287" s="33"/>
      <c r="AD287" s="139"/>
      <c r="AE287" s="33"/>
      <c r="AL287" s="35"/>
      <c r="AV287" s="35"/>
      <c r="AW287" s="35"/>
      <c r="AX287" s="35"/>
      <c r="AY287" s="36"/>
      <c r="BF287" s="35"/>
      <c r="BG287" s="35"/>
      <c r="BO287" s="35"/>
      <c r="BP287" s="35"/>
      <c r="BW287" s="36"/>
      <c r="BX287" s="36"/>
      <c r="BY287" s="36"/>
      <c r="BZ287" s="36"/>
      <c r="CY287" s="33"/>
    </row>
    <row r="288" spans="2:103" s="32" customFormat="1" x14ac:dyDescent="0.15">
      <c r="B288" s="33"/>
      <c r="E288" s="35"/>
      <c r="H288" s="33"/>
      <c r="N288" s="114"/>
      <c r="O288" s="34"/>
      <c r="P288" s="33"/>
      <c r="Q288" s="33"/>
      <c r="AA288" s="33"/>
      <c r="AB288" s="33"/>
      <c r="AC288" s="33"/>
      <c r="AD288" s="139"/>
      <c r="AE288" s="33"/>
      <c r="AL288" s="35"/>
      <c r="AV288" s="35"/>
      <c r="AW288" s="35"/>
      <c r="AX288" s="35"/>
      <c r="AY288" s="36"/>
      <c r="BF288" s="35"/>
      <c r="BG288" s="35"/>
      <c r="BO288" s="35"/>
      <c r="BP288" s="35"/>
      <c r="BW288" s="36"/>
      <c r="BX288" s="36"/>
      <c r="BY288" s="36"/>
      <c r="BZ288" s="36"/>
      <c r="CY288" s="33"/>
    </row>
    <row r="289" spans="2:103" s="32" customFormat="1" x14ac:dyDescent="0.15">
      <c r="B289" s="33"/>
      <c r="E289" s="35"/>
      <c r="H289" s="33"/>
      <c r="N289" s="114"/>
      <c r="O289" s="34"/>
      <c r="P289" s="33"/>
      <c r="Q289" s="33"/>
      <c r="AA289" s="33"/>
      <c r="AB289" s="33"/>
      <c r="AC289" s="33"/>
      <c r="AD289" s="139"/>
      <c r="AE289" s="33"/>
      <c r="AL289" s="35"/>
      <c r="AV289" s="35"/>
      <c r="AW289" s="35"/>
      <c r="AX289" s="35"/>
      <c r="AY289" s="36"/>
      <c r="BF289" s="35"/>
      <c r="BG289" s="35"/>
      <c r="BO289" s="35"/>
      <c r="BP289" s="35"/>
      <c r="BW289" s="36"/>
      <c r="BX289" s="36"/>
      <c r="BY289" s="36"/>
      <c r="BZ289" s="36"/>
      <c r="CY289" s="33"/>
    </row>
    <row r="290" spans="2:103" s="32" customFormat="1" x14ac:dyDescent="0.15">
      <c r="B290" s="33"/>
      <c r="E290" s="35"/>
      <c r="H290" s="33"/>
      <c r="N290" s="114"/>
      <c r="O290" s="34"/>
      <c r="P290" s="33"/>
      <c r="Q290" s="33"/>
      <c r="AA290" s="33"/>
      <c r="AB290" s="33"/>
      <c r="AC290" s="33"/>
      <c r="AD290" s="139"/>
      <c r="AE290" s="33"/>
      <c r="AL290" s="35"/>
      <c r="AV290" s="35"/>
      <c r="AW290" s="35"/>
      <c r="AX290" s="35"/>
      <c r="AY290" s="36"/>
      <c r="BF290" s="35"/>
      <c r="BG290" s="35"/>
      <c r="BO290" s="35"/>
      <c r="BP290" s="35"/>
      <c r="BW290" s="36"/>
      <c r="BX290" s="36"/>
      <c r="BY290" s="36"/>
      <c r="BZ290" s="36"/>
      <c r="CY290" s="33"/>
    </row>
    <row r="291" spans="2:103" s="32" customFormat="1" x14ac:dyDescent="0.15">
      <c r="B291" s="33"/>
      <c r="E291" s="35"/>
      <c r="H291" s="33"/>
      <c r="N291" s="114"/>
      <c r="O291" s="34"/>
      <c r="P291" s="33"/>
      <c r="Q291" s="33"/>
      <c r="AA291" s="33"/>
      <c r="AB291" s="33"/>
      <c r="AC291" s="33"/>
      <c r="AD291" s="139"/>
      <c r="AE291" s="33"/>
      <c r="AL291" s="35"/>
      <c r="AV291" s="35"/>
      <c r="AW291" s="35"/>
      <c r="AX291" s="35"/>
      <c r="AY291" s="36"/>
      <c r="BF291" s="35"/>
      <c r="BG291" s="35"/>
      <c r="BO291" s="35"/>
      <c r="BP291" s="35"/>
      <c r="BW291" s="36"/>
      <c r="BX291" s="36"/>
      <c r="BY291" s="36"/>
      <c r="BZ291" s="36"/>
      <c r="CY291" s="33"/>
    </row>
    <row r="292" spans="2:103" s="32" customFormat="1" x14ac:dyDescent="0.15">
      <c r="B292" s="33"/>
      <c r="E292" s="35"/>
      <c r="H292" s="33"/>
      <c r="N292" s="114"/>
      <c r="O292" s="34"/>
      <c r="P292" s="33"/>
      <c r="Q292" s="33"/>
      <c r="AA292" s="33"/>
      <c r="AB292" s="33"/>
      <c r="AC292" s="33"/>
      <c r="AD292" s="139"/>
      <c r="AE292" s="33"/>
      <c r="AL292" s="35"/>
      <c r="AV292" s="35"/>
      <c r="AW292" s="35"/>
      <c r="AX292" s="35"/>
      <c r="AY292" s="36"/>
      <c r="BF292" s="35"/>
      <c r="BG292" s="35"/>
      <c r="BO292" s="35"/>
      <c r="BP292" s="35"/>
      <c r="BW292" s="36"/>
      <c r="BX292" s="36"/>
      <c r="BY292" s="36"/>
      <c r="BZ292" s="36"/>
      <c r="CY292" s="33"/>
    </row>
    <row r="293" spans="2:103" s="32" customFormat="1" x14ac:dyDescent="0.15">
      <c r="B293" s="33"/>
      <c r="E293" s="35"/>
      <c r="H293" s="33"/>
      <c r="N293" s="114"/>
      <c r="O293" s="34"/>
      <c r="P293" s="33"/>
      <c r="Q293" s="33"/>
      <c r="AA293" s="33"/>
      <c r="AB293" s="33"/>
      <c r="AC293" s="33"/>
      <c r="AD293" s="139"/>
      <c r="AE293" s="33"/>
      <c r="AL293" s="35"/>
      <c r="AV293" s="35"/>
      <c r="AW293" s="35"/>
      <c r="AX293" s="35"/>
      <c r="AY293" s="36"/>
      <c r="BF293" s="35"/>
      <c r="BG293" s="35"/>
      <c r="BO293" s="35"/>
      <c r="BP293" s="35"/>
      <c r="BW293" s="36"/>
      <c r="BX293" s="36"/>
      <c r="BY293" s="36"/>
      <c r="BZ293" s="36"/>
      <c r="CY293" s="33"/>
    </row>
    <row r="294" spans="2:103" s="32" customFormat="1" x14ac:dyDescent="0.15">
      <c r="B294" s="33"/>
      <c r="E294" s="35"/>
      <c r="H294" s="33"/>
      <c r="N294" s="114"/>
      <c r="O294" s="34"/>
      <c r="P294" s="33"/>
      <c r="Q294" s="33"/>
      <c r="AA294" s="33"/>
      <c r="AB294" s="33"/>
      <c r="AC294" s="33"/>
      <c r="AD294" s="139"/>
      <c r="AE294" s="33"/>
      <c r="AL294" s="35"/>
      <c r="AV294" s="35"/>
      <c r="AW294" s="35"/>
      <c r="AX294" s="35"/>
      <c r="AY294" s="36"/>
      <c r="BF294" s="35"/>
      <c r="BG294" s="35"/>
      <c r="BO294" s="35"/>
      <c r="BP294" s="35"/>
      <c r="BW294" s="36"/>
      <c r="BX294" s="36"/>
      <c r="BY294" s="36"/>
      <c r="BZ294" s="36"/>
      <c r="CY294" s="33"/>
    </row>
    <row r="295" spans="2:103" s="32" customFormat="1" x14ac:dyDescent="0.15">
      <c r="B295" s="33"/>
      <c r="E295" s="35"/>
      <c r="H295" s="33"/>
      <c r="N295" s="114"/>
      <c r="O295" s="34"/>
      <c r="P295" s="33"/>
      <c r="Q295" s="33"/>
      <c r="AA295" s="33"/>
      <c r="AB295" s="33"/>
      <c r="AC295" s="33"/>
      <c r="AD295" s="139"/>
      <c r="AE295" s="33"/>
      <c r="AL295" s="35"/>
      <c r="AV295" s="35"/>
      <c r="AW295" s="35"/>
      <c r="AX295" s="35"/>
      <c r="AY295" s="36"/>
      <c r="BF295" s="35"/>
      <c r="BG295" s="35"/>
      <c r="BO295" s="35"/>
      <c r="BP295" s="35"/>
      <c r="BW295" s="36"/>
      <c r="BX295" s="36"/>
      <c r="BY295" s="36"/>
      <c r="BZ295" s="36"/>
      <c r="CY295" s="33"/>
    </row>
    <row r="296" spans="2:103" s="32" customFormat="1" x14ac:dyDescent="0.15">
      <c r="B296" s="33"/>
      <c r="E296" s="35"/>
      <c r="H296" s="33"/>
      <c r="N296" s="114"/>
      <c r="O296" s="34"/>
      <c r="P296" s="33"/>
      <c r="Q296" s="33"/>
      <c r="AA296" s="33"/>
      <c r="AB296" s="33"/>
      <c r="AC296" s="33"/>
      <c r="AD296" s="139"/>
      <c r="AE296" s="33"/>
      <c r="AL296" s="35"/>
      <c r="AV296" s="35"/>
      <c r="AW296" s="35"/>
      <c r="AX296" s="35"/>
      <c r="AY296" s="36"/>
      <c r="BF296" s="35"/>
      <c r="BG296" s="35"/>
      <c r="BO296" s="35"/>
      <c r="BP296" s="35"/>
      <c r="BW296" s="36"/>
      <c r="BX296" s="36"/>
      <c r="BY296" s="36"/>
      <c r="BZ296" s="36"/>
      <c r="CY296" s="33"/>
    </row>
    <row r="297" spans="2:103" s="32" customFormat="1" x14ac:dyDescent="0.15">
      <c r="B297" s="33"/>
      <c r="E297" s="35"/>
      <c r="H297" s="33"/>
      <c r="N297" s="114"/>
      <c r="O297" s="34"/>
      <c r="P297" s="33"/>
      <c r="Q297" s="33"/>
      <c r="AA297" s="33"/>
      <c r="AB297" s="33"/>
      <c r="AC297" s="33"/>
      <c r="AD297" s="139"/>
      <c r="AE297" s="33"/>
      <c r="AL297" s="35"/>
      <c r="AV297" s="35"/>
      <c r="AW297" s="35"/>
      <c r="AX297" s="35"/>
      <c r="AY297" s="36"/>
      <c r="BF297" s="35"/>
      <c r="BG297" s="35"/>
      <c r="BO297" s="35"/>
      <c r="BP297" s="35"/>
      <c r="BW297" s="36"/>
      <c r="BX297" s="36"/>
      <c r="BY297" s="36"/>
      <c r="BZ297" s="36"/>
      <c r="CY297" s="33"/>
    </row>
    <row r="298" spans="2:103" s="32" customFormat="1" x14ac:dyDescent="0.15">
      <c r="B298" s="33"/>
      <c r="E298" s="35"/>
      <c r="H298" s="33"/>
      <c r="N298" s="114"/>
      <c r="O298" s="34"/>
      <c r="P298" s="33"/>
      <c r="Q298" s="33"/>
      <c r="AA298" s="33"/>
      <c r="AB298" s="33"/>
      <c r="AC298" s="33"/>
      <c r="AD298" s="139"/>
      <c r="AE298" s="33"/>
      <c r="AL298" s="35"/>
      <c r="AV298" s="35"/>
      <c r="AW298" s="35"/>
      <c r="AX298" s="35"/>
      <c r="AY298" s="36"/>
      <c r="BF298" s="35"/>
      <c r="BG298" s="35"/>
      <c r="BO298" s="35"/>
      <c r="BP298" s="35"/>
      <c r="BW298" s="36"/>
      <c r="BX298" s="36"/>
      <c r="BY298" s="36"/>
      <c r="BZ298" s="36"/>
      <c r="CY298" s="33"/>
    </row>
    <row r="299" spans="2:103" s="32" customFormat="1" x14ac:dyDescent="0.15">
      <c r="B299" s="33"/>
      <c r="E299" s="35"/>
      <c r="H299" s="33"/>
      <c r="N299" s="114"/>
      <c r="O299" s="34"/>
      <c r="P299" s="33"/>
      <c r="Q299" s="33"/>
      <c r="AA299" s="33"/>
      <c r="AB299" s="33"/>
      <c r="AC299" s="33"/>
      <c r="AD299" s="139"/>
      <c r="AE299" s="33"/>
      <c r="AL299" s="35"/>
      <c r="AV299" s="35"/>
      <c r="AW299" s="35"/>
      <c r="AX299" s="35"/>
      <c r="AY299" s="36"/>
      <c r="BF299" s="35"/>
      <c r="BG299" s="35"/>
      <c r="BO299" s="35"/>
      <c r="BP299" s="35"/>
      <c r="BW299" s="36"/>
      <c r="BX299" s="36"/>
      <c r="BY299" s="36"/>
      <c r="BZ299" s="36"/>
      <c r="CY299" s="33"/>
    </row>
    <row r="300" spans="2:103" s="32" customFormat="1" x14ac:dyDescent="0.15">
      <c r="B300" s="33"/>
      <c r="E300" s="35"/>
      <c r="H300" s="33"/>
      <c r="N300" s="114"/>
      <c r="O300" s="34"/>
      <c r="P300" s="33"/>
      <c r="Q300" s="33"/>
      <c r="AA300" s="33"/>
      <c r="AB300" s="33"/>
      <c r="AC300" s="33"/>
      <c r="AD300" s="139"/>
      <c r="AE300" s="33"/>
      <c r="AL300" s="35"/>
      <c r="AV300" s="35"/>
      <c r="AW300" s="35"/>
      <c r="AX300" s="35"/>
      <c r="AY300" s="36"/>
      <c r="BF300" s="35"/>
      <c r="BG300" s="35"/>
      <c r="BO300" s="35"/>
      <c r="BP300" s="35"/>
      <c r="BW300" s="36"/>
      <c r="BX300" s="36"/>
      <c r="BY300" s="36"/>
      <c r="BZ300" s="36"/>
      <c r="CY300" s="33"/>
    </row>
    <row r="301" spans="2:103" s="32" customFormat="1" x14ac:dyDescent="0.15">
      <c r="B301" s="33"/>
      <c r="E301" s="35"/>
      <c r="H301" s="33"/>
      <c r="N301" s="114"/>
      <c r="O301" s="34"/>
      <c r="P301" s="33"/>
      <c r="Q301" s="33"/>
      <c r="AA301" s="33"/>
      <c r="AB301" s="33"/>
      <c r="AC301" s="33"/>
      <c r="AD301" s="139"/>
      <c r="AE301" s="33"/>
      <c r="AL301" s="35"/>
      <c r="AV301" s="35"/>
      <c r="AW301" s="35"/>
      <c r="AX301" s="35"/>
      <c r="AY301" s="36"/>
      <c r="BF301" s="35"/>
      <c r="BG301" s="35"/>
      <c r="BO301" s="35"/>
      <c r="BP301" s="35"/>
      <c r="BW301" s="36"/>
      <c r="BX301" s="36"/>
      <c r="BY301" s="36"/>
      <c r="BZ301" s="36"/>
      <c r="CY301" s="33"/>
    </row>
    <row r="302" spans="2:103" s="32" customFormat="1" x14ac:dyDescent="0.15">
      <c r="B302" s="33"/>
      <c r="E302" s="35"/>
      <c r="H302" s="33"/>
      <c r="N302" s="114"/>
      <c r="O302" s="34"/>
      <c r="P302" s="33"/>
      <c r="Q302" s="33"/>
      <c r="AA302" s="33"/>
      <c r="AB302" s="33"/>
      <c r="AC302" s="33"/>
      <c r="AD302" s="139"/>
      <c r="AE302" s="33"/>
      <c r="AL302" s="35"/>
      <c r="AV302" s="35"/>
      <c r="AW302" s="35"/>
      <c r="AX302" s="35"/>
      <c r="AY302" s="36"/>
      <c r="BF302" s="35"/>
      <c r="BG302" s="35"/>
      <c r="BO302" s="35"/>
      <c r="BP302" s="35"/>
      <c r="BW302" s="36"/>
      <c r="BX302" s="36"/>
      <c r="BY302" s="36"/>
      <c r="BZ302" s="36"/>
      <c r="CY302" s="33"/>
    </row>
    <row r="303" spans="2:103" s="32" customFormat="1" x14ac:dyDescent="0.15">
      <c r="B303" s="33"/>
      <c r="E303" s="35"/>
      <c r="H303" s="33"/>
      <c r="N303" s="114"/>
      <c r="O303" s="34"/>
      <c r="P303" s="33"/>
      <c r="Q303" s="33"/>
      <c r="AA303" s="33"/>
      <c r="AB303" s="33"/>
      <c r="AC303" s="33"/>
      <c r="AD303" s="139"/>
      <c r="AE303" s="33"/>
      <c r="AL303" s="35"/>
      <c r="AV303" s="35"/>
      <c r="AW303" s="35"/>
      <c r="AX303" s="35"/>
      <c r="AY303" s="36"/>
      <c r="BF303" s="35"/>
      <c r="BG303" s="35"/>
      <c r="BO303" s="35"/>
      <c r="BP303" s="35"/>
      <c r="BW303" s="36"/>
      <c r="BX303" s="36"/>
      <c r="BY303" s="36"/>
      <c r="BZ303" s="36"/>
      <c r="CY303" s="33"/>
    </row>
    <row r="304" spans="2:103" s="32" customFormat="1" x14ac:dyDescent="0.15">
      <c r="B304" s="33"/>
      <c r="E304" s="35"/>
      <c r="H304" s="33"/>
      <c r="N304" s="114"/>
      <c r="O304" s="34"/>
      <c r="P304" s="33"/>
      <c r="Q304" s="33"/>
      <c r="AA304" s="33"/>
      <c r="AB304" s="33"/>
      <c r="AC304" s="33"/>
      <c r="AD304" s="139"/>
      <c r="AE304" s="33"/>
      <c r="AL304" s="35"/>
      <c r="AV304" s="35"/>
      <c r="AW304" s="35"/>
      <c r="AX304" s="35"/>
      <c r="AY304" s="36"/>
      <c r="BF304" s="35"/>
      <c r="BG304" s="35"/>
      <c r="BO304" s="35"/>
      <c r="BP304" s="35"/>
      <c r="BW304" s="36"/>
      <c r="BX304" s="36"/>
      <c r="BY304" s="36"/>
      <c r="BZ304" s="36"/>
      <c r="CY304" s="33"/>
    </row>
    <row r="305" spans="2:103" s="32" customFormat="1" x14ac:dyDescent="0.15">
      <c r="B305" s="33"/>
      <c r="E305" s="35"/>
      <c r="H305" s="33"/>
      <c r="N305" s="114"/>
      <c r="O305" s="34"/>
      <c r="P305" s="33"/>
      <c r="Q305" s="33"/>
      <c r="AA305" s="33"/>
      <c r="AB305" s="33"/>
      <c r="AC305" s="33"/>
      <c r="AD305" s="139"/>
      <c r="AE305" s="33"/>
      <c r="AL305" s="35"/>
      <c r="AV305" s="35"/>
      <c r="AW305" s="35"/>
      <c r="AX305" s="35"/>
      <c r="AY305" s="36"/>
      <c r="BF305" s="35"/>
      <c r="BG305" s="35"/>
      <c r="BO305" s="35"/>
      <c r="BP305" s="35"/>
      <c r="BW305" s="36"/>
      <c r="BX305" s="36"/>
      <c r="BY305" s="36"/>
      <c r="BZ305" s="36"/>
      <c r="CY305" s="33"/>
    </row>
    <row r="306" spans="2:103" s="32" customFormat="1" x14ac:dyDescent="0.15">
      <c r="B306" s="33"/>
      <c r="E306" s="35"/>
      <c r="H306" s="33"/>
      <c r="N306" s="114"/>
      <c r="O306" s="34"/>
      <c r="P306" s="33"/>
      <c r="Q306" s="33"/>
      <c r="AA306" s="33"/>
      <c r="AB306" s="33"/>
      <c r="AC306" s="33"/>
      <c r="AD306" s="139"/>
      <c r="AE306" s="33"/>
      <c r="AL306" s="35"/>
      <c r="AV306" s="35"/>
      <c r="AW306" s="35"/>
      <c r="AX306" s="35"/>
      <c r="AY306" s="36"/>
      <c r="BF306" s="35"/>
      <c r="BG306" s="35"/>
      <c r="BO306" s="35"/>
      <c r="BP306" s="35"/>
      <c r="BW306" s="36"/>
      <c r="BX306" s="36"/>
      <c r="BY306" s="36"/>
      <c r="BZ306" s="36"/>
      <c r="CY306" s="33"/>
    </row>
    <row r="307" spans="2:103" s="32" customFormat="1" x14ac:dyDescent="0.15">
      <c r="B307" s="33"/>
      <c r="E307" s="35"/>
      <c r="H307" s="33"/>
      <c r="N307" s="114"/>
      <c r="O307" s="34"/>
      <c r="P307" s="33"/>
      <c r="Q307" s="33"/>
      <c r="AA307" s="33"/>
      <c r="AB307" s="33"/>
      <c r="AC307" s="33"/>
      <c r="AD307" s="139"/>
      <c r="AE307" s="33"/>
      <c r="AL307" s="35"/>
      <c r="AV307" s="35"/>
      <c r="AW307" s="35"/>
      <c r="AX307" s="35"/>
      <c r="AY307" s="36"/>
      <c r="BF307" s="35"/>
      <c r="BG307" s="35"/>
      <c r="BO307" s="35"/>
      <c r="BP307" s="35"/>
      <c r="BW307" s="36"/>
      <c r="BX307" s="36"/>
      <c r="BY307" s="36"/>
      <c r="BZ307" s="36"/>
      <c r="CY307" s="33"/>
    </row>
    <row r="308" spans="2:103" s="32" customFormat="1" x14ac:dyDescent="0.15">
      <c r="B308" s="33"/>
      <c r="E308" s="35"/>
      <c r="H308" s="33"/>
      <c r="N308" s="114"/>
      <c r="O308" s="34"/>
      <c r="P308" s="33"/>
      <c r="Q308" s="33"/>
      <c r="AA308" s="33"/>
      <c r="AB308" s="33"/>
      <c r="AC308" s="33"/>
      <c r="AD308" s="139"/>
      <c r="AE308" s="33"/>
      <c r="AL308" s="35"/>
      <c r="AV308" s="35"/>
      <c r="AW308" s="35"/>
      <c r="AX308" s="35"/>
      <c r="AY308" s="36"/>
      <c r="BF308" s="35"/>
      <c r="BG308" s="35"/>
      <c r="BO308" s="35"/>
      <c r="BP308" s="35"/>
      <c r="BW308" s="36"/>
      <c r="BX308" s="36"/>
      <c r="BY308" s="36"/>
      <c r="BZ308" s="36"/>
      <c r="CY308" s="33"/>
    </row>
    <row r="309" spans="2:103" s="32" customFormat="1" x14ac:dyDescent="0.15">
      <c r="B309" s="33"/>
      <c r="E309" s="35"/>
      <c r="H309" s="33"/>
      <c r="N309" s="114"/>
      <c r="O309" s="34"/>
      <c r="P309" s="33"/>
      <c r="Q309" s="33"/>
      <c r="AA309" s="33"/>
      <c r="AB309" s="33"/>
      <c r="AC309" s="33"/>
      <c r="AD309" s="139"/>
      <c r="AE309" s="33"/>
      <c r="AL309" s="35"/>
      <c r="AV309" s="35"/>
      <c r="AW309" s="35"/>
      <c r="AX309" s="35"/>
      <c r="AY309" s="36"/>
      <c r="BF309" s="35"/>
      <c r="BG309" s="35"/>
      <c r="BO309" s="35"/>
      <c r="BP309" s="35"/>
      <c r="BW309" s="36"/>
      <c r="BX309" s="36"/>
      <c r="BY309" s="36"/>
      <c r="BZ309" s="36"/>
      <c r="CY309" s="33"/>
    </row>
    <row r="310" spans="2:103" s="32" customFormat="1" x14ac:dyDescent="0.15">
      <c r="B310" s="33"/>
      <c r="E310" s="35"/>
      <c r="H310" s="33"/>
      <c r="N310" s="114"/>
      <c r="O310" s="34"/>
      <c r="P310" s="33"/>
      <c r="Q310" s="33"/>
      <c r="AA310" s="33"/>
      <c r="AB310" s="33"/>
      <c r="AC310" s="33"/>
      <c r="AD310" s="139"/>
      <c r="AE310" s="33"/>
      <c r="AL310" s="35"/>
      <c r="AV310" s="35"/>
      <c r="AW310" s="35"/>
      <c r="AX310" s="35"/>
      <c r="AY310" s="36"/>
      <c r="BF310" s="35"/>
      <c r="BG310" s="35"/>
      <c r="BO310" s="35"/>
      <c r="BP310" s="35"/>
      <c r="BW310" s="36"/>
      <c r="BX310" s="36"/>
      <c r="BY310" s="36"/>
      <c r="BZ310" s="36"/>
      <c r="CY310" s="33"/>
    </row>
    <row r="311" spans="2:103" s="32" customFormat="1" x14ac:dyDescent="0.15">
      <c r="B311" s="33"/>
      <c r="E311" s="35"/>
      <c r="H311" s="33"/>
      <c r="N311" s="114"/>
      <c r="O311" s="34"/>
      <c r="P311" s="33"/>
      <c r="Q311" s="33"/>
      <c r="AA311" s="33"/>
      <c r="AB311" s="33"/>
      <c r="AC311" s="33"/>
      <c r="AD311" s="139"/>
      <c r="AE311" s="33"/>
      <c r="AL311" s="35"/>
      <c r="AV311" s="35"/>
      <c r="AW311" s="35"/>
      <c r="AX311" s="35"/>
      <c r="AY311" s="36"/>
      <c r="BF311" s="35"/>
      <c r="BG311" s="35"/>
      <c r="BO311" s="35"/>
      <c r="BP311" s="35"/>
      <c r="BW311" s="36"/>
      <c r="BX311" s="36"/>
      <c r="BY311" s="36"/>
      <c r="BZ311" s="36"/>
      <c r="CY311" s="33"/>
    </row>
    <row r="312" spans="2:103" s="32" customFormat="1" x14ac:dyDescent="0.15">
      <c r="B312" s="33"/>
      <c r="E312" s="35"/>
      <c r="H312" s="33"/>
      <c r="N312" s="114"/>
      <c r="O312" s="34"/>
      <c r="P312" s="33"/>
      <c r="Q312" s="33"/>
      <c r="AA312" s="33"/>
      <c r="AB312" s="33"/>
      <c r="AC312" s="33"/>
      <c r="AD312" s="139"/>
      <c r="AE312" s="33"/>
      <c r="AL312" s="35"/>
      <c r="AV312" s="35"/>
      <c r="AW312" s="35"/>
      <c r="AX312" s="35"/>
      <c r="AY312" s="36"/>
      <c r="BF312" s="35"/>
      <c r="BG312" s="35"/>
      <c r="BO312" s="35"/>
      <c r="BP312" s="35"/>
      <c r="BW312" s="36"/>
      <c r="BX312" s="36"/>
      <c r="BY312" s="36"/>
      <c r="BZ312" s="36"/>
      <c r="CY312" s="33"/>
    </row>
    <row r="313" spans="2:103" s="32" customFormat="1" x14ac:dyDescent="0.15">
      <c r="B313" s="33"/>
      <c r="E313" s="35"/>
      <c r="H313" s="33"/>
      <c r="N313" s="114"/>
      <c r="O313" s="34"/>
      <c r="P313" s="33"/>
      <c r="Q313" s="33"/>
      <c r="AA313" s="33"/>
      <c r="AB313" s="33"/>
      <c r="AC313" s="33"/>
      <c r="AD313" s="139"/>
      <c r="AE313" s="33"/>
      <c r="AL313" s="35"/>
      <c r="AV313" s="35"/>
      <c r="AW313" s="35"/>
      <c r="AX313" s="35"/>
      <c r="AY313" s="36"/>
      <c r="BF313" s="35"/>
      <c r="BG313" s="35"/>
      <c r="BO313" s="35"/>
      <c r="BP313" s="35"/>
      <c r="BW313" s="36"/>
      <c r="BX313" s="36"/>
      <c r="BY313" s="36"/>
      <c r="BZ313" s="36"/>
      <c r="CY313" s="33"/>
    </row>
    <row r="314" spans="2:103" s="32" customFormat="1" x14ac:dyDescent="0.15">
      <c r="B314" s="33"/>
      <c r="E314" s="35"/>
      <c r="H314" s="33"/>
      <c r="N314" s="114"/>
      <c r="O314" s="34"/>
      <c r="P314" s="33"/>
      <c r="Q314" s="33"/>
      <c r="AA314" s="33"/>
      <c r="AB314" s="33"/>
      <c r="AC314" s="33"/>
      <c r="AD314" s="139"/>
      <c r="AE314" s="33"/>
      <c r="AL314" s="35"/>
      <c r="AV314" s="35"/>
      <c r="AW314" s="35"/>
      <c r="AX314" s="35"/>
      <c r="AY314" s="36"/>
      <c r="BF314" s="35"/>
      <c r="BG314" s="35"/>
      <c r="BO314" s="35"/>
      <c r="BP314" s="35"/>
      <c r="BW314" s="36"/>
      <c r="BX314" s="36"/>
      <c r="BY314" s="36"/>
      <c r="BZ314" s="36"/>
      <c r="CY314" s="33"/>
    </row>
    <row r="315" spans="2:103" s="32" customFormat="1" x14ac:dyDescent="0.15">
      <c r="B315" s="33"/>
      <c r="E315" s="35"/>
      <c r="H315" s="33"/>
      <c r="N315" s="114"/>
      <c r="O315" s="34"/>
      <c r="P315" s="33"/>
      <c r="Q315" s="33"/>
      <c r="AA315" s="33"/>
      <c r="AB315" s="33"/>
      <c r="AC315" s="33"/>
      <c r="AD315" s="139"/>
      <c r="AE315" s="33"/>
      <c r="AL315" s="35"/>
      <c r="AV315" s="35"/>
      <c r="AW315" s="35"/>
      <c r="AX315" s="35"/>
      <c r="AY315" s="36"/>
      <c r="BF315" s="35"/>
      <c r="BG315" s="35"/>
      <c r="BO315" s="35"/>
      <c r="BP315" s="35"/>
      <c r="BW315" s="36"/>
      <c r="BX315" s="36"/>
      <c r="BY315" s="36"/>
      <c r="BZ315" s="36"/>
      <c r="CY315" s="33"/>
    </row>
    <row r="316" spans="2:103" s="32" customFormat="1" x14ac:dyDescent="0.15">
      <c r="B316" s="33"/>
      <c r="E316" s="35"/>
      <c r="H316" s="33"/>
      <c r="N316" s="114"/>
      <c r="O316" s="34"/>
      <c r="P316" s="33"/>
      <c r="Q316" s="33"/>
      <c r="AA316" s="33"/>
      <c r="AB316" s="33"/>
      <c r="AC316" s="33"/>
      <c r="AD316" s="139"/>
      <c r="AE316" s="33"/>
      <c r="AL316" s="35"/>
      <c r="AV316" s="35"/>
      <c r="AW316" s="35"/>
      <c r="AX316" s="35"/>
      <c r="AY316" s="36"/>
      <c r="BF316" s="35"/>
      <c r="BG316" s="35"/>
      <c r="BO316" s="35"/>
      <c r="BP316" s="35"/>
      <c r="BW316" s="36"/>
      <c r="BX316" s="36"/>
      <c r="BY316" s="36"/>
      <c r="BZ316" s="36"/>
      <c r="CY316" s="33"/>
    </row>
    <row r="317" spans="2:103" s="32" customFormat="1" x14ac:dyDescent="0.15">
      <c r="B317" s="33"/>
      <c r="E317" s="35"/>
      <c r="H317" s="33"/>
      <c r="N317" s="114"/>
      <c r="O317" s="34"/>
      <c r="P317" s="33"/>
      <c r="Q317" s="33"/>
      <c r="AA317" s="33"/>
      <c r="AB317" s="33"/>
      <c r="AC317" s="33"/>
      <c r="AD317" s="139"/>
      <c r="AE317" s="33"/>
      <c r="AL317" s="35"/>
      <c r="AV317" s="35"/>
      <c r="AW317" s="35"/>
      <c r="AX317" s="35"/>
      <c r="AY317" s="36"/>
      <c r="BF317" s="35"/>
      <c r="BG317" s="35"/>
      <c r="BO317" s="35"/>
      <c r="BP317" s="35"/>
      <c r="BW317" s="36"/>
      <c r="BX317" s="36"/>
      <c r="BY317" s="36"/>
      <c r="BZ317" s="36"/>
      <c r="CY317" s="33"/>
    </row>
    <row r="318" spans="2:103" s="32" customFormat="1" x14ac:dyDescent="0.15">
      <c r="B318" s="33"/>
      <c r="E318" s="35"/>
      <c r="H318" s="33"/>
      <c r="N318" s="114"/>
      <c r="O318" s="34"/>
      <c r="P318" s="33"/>
      <c r="Q318" s="33"/>
      <c r="AA318" s="33"/>
      <c r="AB318" s="33"/>
      <c r="AC318" s="33"/>
      <c r="AD318" s="139"/>
      <c r="AE318" s="33"/>
      <c r="AL318" s="35"/>
      <c r="AV318" s="35"/>
      <c r="AW318" s="35"/>
      <c r="AX318" s="35"/>
      <c r="AY318" s="36"/>
      <c r="BF318" s="35"/>
      <c r="BG318" s="35"/>
      <c r="BO318" s="35"/>
      <c r="BP318" s="35"/>
      <c r="BW318" s="36"/>
      <c r="BX318" s="36"/>
      <c r="BY318" s="36"/>
      <c r="BZ318" s="36"/>
      <c r="CY318" s="33"/>
    </row>
    <row r="319" spans="2:103" s="32" customFormat="1" x14ac:dyDescent="0.15">
      <c r="B319" s="33"/>
      <c r="E319" s="35"/>
      <c r="H319" s="33"/>
      <c r="N319" s="114"/>
      <c r="O319" s="34"/>
      <c r="P319" s="33"/>
      <c r="Q319" s="33"/>
      <c r="AA319" s="33"/>
      <c r="AB319" s="33"/>
      <c r="AC319" s="33"/>
      <c r="AD319" s="139"/>
      <c r="AE319" s="33"/>
      <c r="AL319" s="35"/>
      <c r="AV319" s="35"/>
      <c r="AW319" s="35"/>
      <c r="AX319" s="35"/>
      <c r="AY319" s="36"/>
      <c r="BF319" s="35"/>
      <c r="BG319" s="35"/>
      <c r="BO319" s="35"/>
      <c r="BP319" s="35"/>
      <c r="BW319" s="36"/>
      <c r="BX319" s="36"/>
      <c r="BY319" s="36"/>
      <c r="BZ319" s="36"/>
      <c r="CY319" s="33"/>
    </row>
    <row r="320" spans="2:103" s="32" customFormat="1" x14ac:dyDescent="0.15">
      <c r="B320" s="33"/>
      <c r="E320" s="35"/>
      <c r="H320" s="33"/>
      <c r="N320" s="114"/>
      <c r="O320" s="34"/>
      <c r="P320" s="33"/>
      <c r="Q320" s="33"/>
      <c r="AA320" s="33"/>
      <c r="AB320" s="33"/>
      <c r="AC320" s="33"/>
      <c r="AD320" s="139"/>
      <c r="AE320" s="33"/>
      <c r="AL320" s="35"/>
      <c r="AV320" s="35"/>
      <c r="AW320" s="35"/>
      <c r="AX320" s="35"/>
      <c r="AY320" s="36"/>
      <c r="BF320" s="35"/>
      <c r="BG320" s="35"/>
      <c r="BO320" s="35"/>
      <c r="BP320" s="35"/>
      <c r="BW320" s="36"/>
      <c r="BX320" s="36"/>
      <c r="BY320" s="36"/>
      <c r="BZ320" s="36"/>
      <c r="CY320" s="33"/>
    </row>
    <row r="321" spans="2:103" s="32" customFormat="1" x14ac:dyDescent="0.15">
      <c r="B321" s="33"/>
      <c r="E321" s="35"/>
      <c r="H321" s="33"/>
      <c r="N321" s="114"/>
      <c r="O321" s="34"/>
      <c r="P321" s="33"/>
      <c r="Q321" s="33"/>
      <c r="AA321" s="33"/>
      <c r="AB321" s="33"/>
      <c r="AC321" s="33"/>
      <c r="AD321" s="139"/>
      <c r="AE321" s="33"/>
      <c r="AL321" s="35"/>
      <c r="AV321" s="35"/>
      <c r="AW321" s="35"/>
      <c r="AX321" s="35"/>
      <c r="AY321" s="36"/>
      <c r="BF321" s="35"/>
      <c r="BG321" s="35"/>
      <c r="BO321" s="35"/>
      <c r="BP321" s="35"/>
      <c r="BW321" s="36"/>
      <c r="BX321" s="36"/>
      <c r="BY321" s="36"/>
      <c r="BZ321" s="36"/>
      <c r="CY321" s="33"/>
    </row>
    <row r="322" spans="2:103" s="32" customFormat="1" x14ac:dyDescent="0.15">
      <c r="B322" s="33"/>
      <c r="E322" s="35"/>
      <c r="H322" s="33"/>
      <c r="N322" s="114"/>
      <c r="O322" s="34"/>
      <c r="P322" s="33"/>
      <c r="Q322" s="33"/>
      <c r="AA322" s="33"/>
      <c r="AB322" s="33"/>
      <c r="AC322" s="33"/>
      <c r="AD322" s="139"/>
      <c r="AE322" s="33"/>
      <c r="AL322" s="35"/>
      <c r="AV322" s="35"/>
      <c r="AW322" s="35"/>
      <c r="AX322" s="35"/>
      <c r="AY322" s="36"/>
      <c r="BF322" s="35"/>
      <c r="BG322" s="35"/>
      <c r="BO322" s="35"/>
      <c r="BP322" s="35"/>
      <c r="BW322" s="36"/>
      <c r="BX322" s="36"/>
      <c r="BY322" s="36"/>
      <c r="BZ322" s="36"/>
      <c r="CY322" s="33"/>
    </row>
    <row r="323" spans="2:103" s="32" customFormat="1" x14ac:dyDescent="0.15">
      <c r="B323" s="33"/>
      <c r="E323" s="35"/>
      <c r="H323" s="33"/>
      <c r="N323" s="114"/>
      <c r="O323" s="34"/>
      <c r="P323" s="33"/>
      <c r="Q323" s="33"/>
      <c r="AA323" s="33"/>
      <c r="AB323" s="33"/>
      <c r="AC323" s="33"/>
      <c r="AD323" s="139"/>
      <c r="AE323" s="33"/>
      <c r="AL323" s="35"/>
      <c r="AV323" s="35"/>
      <c r="AW323" s="35"/>
      <c r="AX323" s="35"/>
      <c r="AY323" s="36"/>
      <c r="BF323" s="35"/>
      <c r="BG323" s="35"/>
      <c r="BO323" s="35"/>
      <c r="BP323" s="35"/>
      <c r="BW323" s="36"/>
      <c r="BX323" s="36"/>
      <c r="BY323" s="36"/>
      <c r="BZ323" s="36"/>
      <c r="CY323" s="33"/>
    </row>
    <row r="324" spans="2:103" s="32" customFormat="1" x14ac:dyDescent="0.15">
      <c r="B324" s="33"/>
      <c r="E324" s="35"/>
      <c r="H324" s="33"/>
      <c r="N324" s="114"/>
      <c r="O324" s="34"/>
      <c r="P324" s="33"/>
      <c r="Q324" s="33"/>
      <c r="AA324" s="33"/>
      <c r="AB324" s="33"/>
      <c r="AC324" s="33"/>
      <c r="AD324" s="139"/>
      <c r="AE324" s="33"/>
      <c r="AL324" s="35"/>
      <c r="AV324" s="35"/>
      <c r="AW324" s="35"/>
      <c r="AX324" s="35"/>
      <c r="AY324" s="36"/>
      <c r="BF324" s="35"/>
      <c r="BG324" s="35"/>
      <c r="BO324" s="35"/>
      <c r="BP324" s="35"/>
      <c r="BW324" s="36"/>
      <c r="BX324" s="36"/>
      <c r="BY324" s="36"/>
      <c r="BZ324" s="36"/>
      <c r="CY324" s="33"/>
    </row>
    <row r="325" spans="2:103" s="32" customFormat="1" x14ac:dyDescent="0.15">
      <c r="B325" s="33"/>
      <c r="E325" s="35"/>
      <c r="H325" s="33"/>
      <c r="N325" s="114"/>
      <c r="O325" s="34"/>
      <c r="P325" s="33"/>
      <c r="Q325" s="33"/>
      <c r="AA325" s="33"/>
      <c r="AB325" s="33"/>
      <c r="AC325" s="33"/>
      <c r="AD325" s="139"/>
      <c r="AE325" s="33"/>
      <c r="AL325" s="35"/>
      <c r="AV325" s="35"/>
      <c r="AW325" s="35"/>
      <c r="AX325" s="35"/>
      <c r="AY325" s="36"/>
      <c r="BF325" s="35"/>
      <c r="BG325" s="35"/>
      <c r="BO325" s="35"/>
      <c r="BP325" s="35"/>
      <c r="BW325" s="36"/>
      <c r="BX325" s="36"/>
      <c r="BY325" s="36"/>
      <c r="BZ325" s="36"/>
      <c r="CY325" s="33"/>
    </row>
    <row r="326" spans="2:103" s="32" customFormat="1" x14ac:dyDescent="0.15">
      <c r="B326" s="33"/>
      <c r="E326" s="35"/>
      <c r="H326" s="33"/>
      <c r="N326" s="114"/>
      <c r="O326" s="34"/>
      <c r="P326" s="33"/>
      <c r="Q326" s="33"/>
      <c r="AA326" s="33"/>
      <c r="AB326" s="33"/>
      <c r="AC326" s="33"/>
      <c r="AD326" s="139"/>
      <c r="AE326" s="33"/>
      <c r="AL326" s="35"/>
      <c r="AV326" s="35"/>
      <c r="AW326" s="35"/>
      <c r="AX326" s="35"/>
      <c r="AY326" s="36"/>
      <c r="BF326" s="35"/>
      <c r="BG326" s="35"/>
      <c r="BO326" s="35"/>
      <c r="BP326" s="35"/>
      <c r="BW326" s="36"/>
      <c r="BX326" s="36"/>
      <c r="BY326" s="36"/>
      <c r="BZ326" s="36"/>
      <c r="CY326" s="33"/>
    </row>
    <row r="327" spans="2:103" s="32" customFormat="1" x14ac:dyDescent="0.15">
      <c r="B327" s="33"/>
      <c r="E327" s="35"/>
      <c r="H327" s="33"/>
      <c r="N327" s="114"/>
      <c r="O327" s="34"/>
      <c r="P327" s="33"/>
      <c r="Q327" s="33"/>
      <c r="AA327" s="33"/>
      <c r="AB327" s="33"/>
      <c r="AC327" s="33"/>
      <c r="AD327" s="139"/>
      <c r="AE327" s="33"/>
      <c r="AL327" s="35"/>
      <c r="AV327" s="35"/>
      <c r="AW327" s="35"/>
      <c r="AX327" s="35"/>
      <c r="AY327" s="36"/>
      <c r="BF327" s="35"/>
      <c r="BG327" s="35"/>
      <c r="BO327" s="35"/>
      <c r="BP327" s="35"/>
      <c r="BW327" s="36"/>
      <c r="BX327" s="36"/>
      <c r="BY327" s="36"/>
      <c r="BZ327" s="36"/>
      <c r="CY327" s="33"/>
    </row>
    <row r="328" spans="2:103" s="32" customFormat="1" x14ac:dyDescent="0.15">
      <c r="B328" s="33"/>
      <c r="E328" s="35"/>
      <c r="H328" s="33"/>
      <c r="N328" s="114"/>
      <c r="O328" s="34"/>
      <c r="P328" s="33"/>
      <c r="Q328" s="33"/>
      <c r="AA328" s="33"/>
      <c r="AB328" s="33"/>
      <c r="AC328" s="33"/>
      <c r="AD328" s="139"/>
      <c r="AE328" s="33"/>
      <c r="AL328" s="35"/>
      <c r="AV328" s="35"/>
      <c r="AW328" s="35"/>
      <c r="AX328" s="35"/>
      <c r="AY328" s="36"/>
      <c r="BF328" s="35"/>
      <c r="BG328" s="35"/>
      <c r="BO328" s="35"/>
      <c r="BP328" s="35"/>
      <c r="BW328" s="36"/>
      <c r="BX328" s="36"/>
      <c r="BY328" s="36"/>
      <c r="BZ328" s="36"/>
      <c r="CY328" s="33"/>
    </row>
    <row r="329" spans="2:103" s="32" customFormat="1" x14ac:dyDescent="0.15">
      <c r="B329" s="33"/>
      <c r="E329" s="35"/>
      <c r="H329" s="33"/>
      <c r="N329" s="114"/>
      <c r="O329" s="34"/>
      <c r="P329" s="33"/>
      <c r="Q329" s="33"/>
      <c r="AA329" s="33"/>
      <c r="AB329" s="33"/>
      <c r="AC329" s="33"/>
      <c r="AD329" s="139"/>
      <c r="AE329" s="33"/>
      <c r="AL329" s="35"/>
      <c r="AV329" s="35"/>
      <c r="AW329" s="35"/>
      <c r="AX329" s="35"/>
      <c r="AY329" s="36"/>
      <c r="BF329" s="35"/>
      <c r="BG329" s="35"/>
      <c r="BO329" s="35"/>
      <c r="BP329" s="35"/>
      <c r="BW329" s="36"/>
      <c r="BX329" s="36"/>
      <c r="BY329" s="36"/>
      <c r="BZ329" s="36"/>
      <c r="CY329" s="33"/>
    </row>
    <row r="330" spans="2:103" s="32" customFormat="1" x14ac:dyDescent="0.15">
      <c r="B330" s="33"/>
      <c r="E330" s="35"/>
      <c r="H330" s="33"/>
      <c r="N330" s="114"/>
      <c r="O330" s="34"/>
      <c r="P330" s="33"/>
      <c r="Q330" s="33"/>
      <c r="AA330" s="33"/>
      <c r="AB330" s="33"/>
      <c r="AC330" s="33"/>
      <c r="AD330" s="139"/>
      <c r="AE330" s="33"/>
      <c r="AL330" s="35"/>
      <c r="AV330" s="35"/>
      <c r="AW330" s="35"/>
      <c r="AX330" s="35"/>
      <c r="AY330" s="36"/>
      <c r="BF330" s="35"/>
      <c r="BG330" s="35"/>
      <c r="BO330" s="35"/>
      <c r="BP330" s="35"/>
      <c r="BW330" s="36"/>
      <c r="BX330" s="36"/>
      <c r="BY330" s="36"/>
      <c r="BZ330" s="36"/>
      <c r="CY330" s="33"/>
    </row>
    <row r="331" spans="2:103" s="32" customFormat="1" x14ac:dyDescent="0.15">
      <c r="B331" s="33"/>
      <c r="E331" s="35"/>
      <c r="H331" s="33"/>
      <c r="N331" s="114"/>
      <c r="O331" s="34"/>
      <c r="P331" s="33"/>
      <c r="Q331" s="33"/>
      <c r="AA331" s="33"/>
      <c r="AB331" s="33"/>
      <c r="AC331" s="33"/>
      <c r="AD331" s="139"/>
      <c r="AE331" s="33"/>
      <c r="AL331" s="35"/>
      <c r="AV331" s="35"/>
      <c r="AW331" s="35"/>
      <c r="AX331" s="35"/>
      <c r="AY331" s="36"/>
      <c r="BF331" s="35"/>
      <c r="BG331" s="35"/>
      <c r="BO331" s="35"/>
      <c r="BP331" s="35"/>
      <c r="BW331" s="36"/>
      <c r="BX331" s="36"/>
      <c r="BY331" s="36"/>
      <c r="BZ331" s="36"/>
      <c r="CY331" s="33"/>
    </row>
    <row r="332" spans="2:103" s="32" customFormat="1" x14ac:dyDescent="0.15">
      <c r="B332" s="33"/>
      <c r="E332" s="35"/>
      <c r="H332" s="33"/>
      <c r="N332" s="114"/>
      <c r="O332" s="34"/>
      <c r="P332" s="33"/>
      <c r="Q332" s="33"/>
      <c r="AA332" s="33"/>
      <c r="AB332" s="33"/>
      <c r="AC332" s="33"/>
      <c r="AD332" s="139"/>
      <c r="AE332" s="33"/>
      <c r="AL332" s="35"/>
      <c r="AV332" s="35"/>
      <c r="AW332" s="35"/>
      <c r="AX332" s="35"/>
      <c r="AY332" s="36"/>
      <c r="BF332" s="35"/>
      <c r="BG332" s="35"/>
      <c r="BO332" s="35"/>
      <c r="BP332" s="35"/>
      <c r="BW332" s="36"/>
      <c r="BX332" s="36"/>
      <c r="BY332" s="36"/>
      <c r="BZ332" s="36"/>
      <c r="CY332" s="33"/>
    </row>
    <row r="333" spans="2:103" s="32" customFormat="1" x14ac:dyDescent="0.15">
      <c r="B333" s="33"/>
      <c r="E333" s="35"/>
      <c r="H333" s="33"/>
      <c r="N333" s="114"/>
      <c r="O333" s="34"/>
      <c r="P333" s="33"/>
      <c r="Q333" s="33"/>
      <c r="AA333" s="33"/>
      <c r="AB333" s="33"/>
      <c r="AC333" s="33"/>
      <c r="AD333" s="139"/>
      <c r="AE333" s="33"/>
      <c r="AL333" s="35"/>
      <c r="AV333" s="35"/>
      <c r="AW333" s="35"/>
      <c r="AX333" s="35"/>
      <c r="AY333" s="36"/>
      <c r="BF333" s="35"/>
      <c r="BG333" s="35"/>
      <c r="BO333" s="35"/>
      <c r="BP333" s="35"/>
      <c r="BW333" s="36"/>
      <c r="BX333" s="36"/>
      <c r="BY333" s="36"/>
      <c r="BZ333" s="36"/>
      <c r="CY333" s="33"/>
    </row>
    <row r="334" spans="2:103" s="32" customFormat="1" x14ac:dyDescent="0.15">
      <c r="B334" s="33"/>
      <c r="E334" s="35"/>
      <c r="H334" s="33"/>
      <c r="N334" s="114"/>
      <c r="O334" s="34"/>
      <c r="P334" s="33"/>
      <c r="Q334" s="33"/>
      <c r="AA334" s="33"/>
      <c r="AB334" s="33"/>
      <c r="AC334" s="33"/>
      <c r="AD334" s="139"/>
      <c r="AE334" s="33"/>
      <c r="AL334" s="35"/>
      <c r="AV334" s="35"/>
      <c r="AW334" s="35"/>
      <c r="AX334" s="35"/>
      <c r="AY334" s="36"/>
      <c r="BF334" s="35"/>
      <c r="BG334" s="35"/>
      <c r="BO334" s="35"/>
      <c r="BP334" s="35"/>
      <c r="BW334" s="36"/>
      <c r="BX334" s="36"/>
      <c r="BY334" s="36"/>
      <c r="BZ334" s="36"/>
      <c r="CY334" s="33"/>
    </row>
    <row r="335" spans="2:103" s="32" customFormat="1" x14ac:dyDescent="0.15">
      <c r="B335" s="33"/>
      <c r="E335" s="35"/>
      <c r="H335" s="33"/>
      <c r="N335" s="114"/>
      <c r="O335" s="34"/>
      <c r="P335" s="33"/>
      <c r="Q335" s="33"/>
      <c r="AA335" s="33"/>
      <c r="AB335" s="33"/>
      <c r="AC335" s="33"/>
      <c r="AD335" s="139"/>
      <c r="AE335" s="33"/>
      <c r="AL335" s="35"/>
      <c r="AV335" s="35"/>
      <c r="AW335" s="35"/>
      <c r="AX335" s="35"/>
      <c r="AY335" s="36"/>
      <c r="BF335" s="35"/>
      <c r="BG335" s="35"/>
      <c r="BO335" s="35"/>
      <c r="BP335" s="35"/>
      <c r="BW335" s="36"/>
      <c r="BX335" s="36"/>
      <c r="BY335" s="36"/>
      <c r="BZ335" s="36"/>
      <c r="CY335" s="33"/>
    </row>
    <row r="336" spans="2:103" s="32" customFormat="1" x14ac:dyDescent="0.15">
      <c r="B336" s="33"/>
      <c r="E336" s="35"/>
      <c r="H336" s="33"/>
      <c r="N336" s="114"/>
      <c r="O336" s="34"/>
      <c r="P336" s="33"/>
      <c r="Q336" s="33"/>
      <c r="AA336" s="33"/>
      <c r="AB336" s="33"/>
      <c r="AC336" s="33"/>
      <c r="AD336" s="139"/>
      <c r="AE336" s="33"/>
      <c r="AL336" s="35"/>
      <c r="AV336" s="35"/>
      <c r="AW336" s="35"/>
      <c r="AX336" s="35"/>
      <c r="AY336" s="36"/>
      <c r="BF336" s="35"/>
      <c r="BG336" s="35"/>
      <c r="BO336" s="35"/>
      <c r="BP336" s="35"/>
      <c r="BW336" s="36"/>
      <c r="BX336" s="36"/>
      <c r="BY336" s="36"/>
      <c r="BZ336" s="36"/>
      <c r="CY336" s="33"/>
    </row>
    <row r="337" spans="2:103" s="32" customFormat="1" x14ac:dyDescent="0.15">
      <c r="B337" s="33"/>
      <c r="E337" s="35"/>
      <c r="H337" s="33"/>
      <c r="N337" s="114"/>
      <c r="O337" s="34"/>
      <c r="P337" s="33"/>
      <c r="Q337" s="33"/>
      <c r="AA337" s="33"/>
      <c r="AB337" s="33"/>
      <c r="AC337" s="33"/>
      <c r="AD337" s="139"/>
      <c r="AE337" s="33"/>
      <c r="AL337" s="35"/>
      <c r="AV337" s="35"/>
      <c r="AW337" s="35"/>
      <c r="AX337" s="35"/>
      <c r="AY337" s="36"/>
      <c r="BF337" s="35"/>
      <c r="BG337" s="35"/>
      <c r="BO337" s="35"/>
      <c r="BP337" s="35"/>
      <c r="BW337" s="36"/>
      <c r="BX337" s="36"/>
      <c r="BY337" s="36"/>
      <c r="BZ337" s="36"/>
      <c r="CY337" s="33"/>
    </row>
    <row r="338" spans="2:103" s="32" customFormat="1" x14ac:dyDescent="0.15">
      <c r="B338" s="33"/>
      <c r="E338" s="35"/>
      <c r="H338" s="33"/>
      <c r="N338" s="114"/>
      <c r="O338" s="34"/>
      <c r="P338" s="33"/>
      <c r="Q338" s="33"/>
      <c r="AA338" s="33"/>
      <c r="AB338" s="33"/>
      <c r="AC338" s="33"/>
      <c r="AD338" s="139"/>
      <c r="AE338" s="33"/>
      <c r="AL338" s="35"/>
      <c r="AV338" s="35"/>
      <c r="AW338" s="35"/>
      <c r="AX338" s="35"/>
      <c r="AY338" s="36"/>
      <c r="BF338" s="35"/>
      <c r="BG338" s="35"/>
      <c r="BO338" s="35"/>
      <c r="BP338" s="35"/>
      <c r="BW338" s="36"/>
      <c r="BX338" s="36"/>
      <c r="BY338" s="36"/>
      <c r="BZ338" s="36"/>
      <c r="CY338" s="33"/>
    </row>
    <row r="339" spans="2:103" s="32" customFormat="1" x14ac:dyDescent="0.15">
      <c r="B339" s="33"/>
      <c r="E339" s="35"/>
      <c r="H339" s="33"/>
      <c r="N339" s="114"/>
      <c r="O339" s="34"/>
      <c r="P339" s="33"/>
      <c r="Q339" s="33"/>
      <c r="AA339" s="33"/>
      <c r="AB339" s="33"/>
      <c r="AC339" s="33"/>
      <c r="AD339" s="139"/>
      <c r="AE339" s="33"/>
      <c r="AL339" s="35"/>
      <c r="AV339" s="35"/>
      <c r="AW339" s="35"/>
      <c r="AX339" s="35"/>
      <c r="AY339" s="36"/>
      <c r="BF339" s="35"/>
      <c r="BG339" s="35"/>
      <c r="BO339" s="35"/>
      <c r="BP339" s="35"/>
      <c r="BW339" s="36"/>
      <c r="BX339" s="36"/>
      <c r="BY339" s="36"/>
      <c r="BZ339" s="36"/>
      <c r="CY339" s="33"/>
    </row>
    <row r="340" spans="2:103" s="32" customFormat="1" x14ac:dyDescent="0.15">
      <c r="B340" s="33"/>
      <c r="E340" s="35"/>
      <c r="H340" s="33"/>
      <c r="N340" s="114"/>
      <c r="O340" s="34"/>
      <c r="P340" s="33"/>
      <c r="Q340" s="33"/>
      <c r="AA340" s="33"/>
      <c r="AB340" s="33"/>
      <c r="AC340" s="33"/>
      <c r="AD340" s="139"/>
      <c r="AE340" s="33"/>
      <c r="AL340" s="35"/>
      <c r="AV340" s="35"/>
      <c r="AW340" s="35"/>
      <c r="AX340" s="35"/>
      <c r="AY340" s="36"/>
      <c r="BF340" s="35"/>
      <c r="BG340" s="35"/>
      <c r="BO340" s="35"/>
      <c r="BP340" s="35"/>
      <c r="BW340" s="36"/>
      <c r="BX340" s="36"/>
      <c r="BY340" s="36"/>
      <c r="BZ340" s="36"/>
      <c r="CY340" s="33"/>
    </row>
    <row r="341" spans="2:103" s="32" customFormat="1" x14ac:dyDescent="0.15">
      <c r="B341" s="33"/>
      <c r="E341" s="35"/>
      <c r="H341" s="33"/>
      <c r="N341" s="114"/>
      <c r="O341" s="34"/>
      <c r="P341" s="33"/>
      <c r="Q341" s="33"/>
      <c r="AA341" s="33"/>
      <c r="AB341" s="33"/>
      <c r="AC341" s="33"/>
      <c r="AD341" s="139"/>
      <c r="AE341" s="33"/>
      <c r="AL341" s="35"/>
      <c r="AV341" s="35"/>
      <c r="AW341" s="35"/>
      <c r="AX341" s="35"/>
      <c r="AY341" s="36"/>
      <c r="BF341" s="35"/>
      <c r="BG341" s="35"/>
      <c r="BO341" s="35"/>
      <c r="BP341" s="35"/>
      <c r="BW341" s="36"/>
      <c r="BX341" s="36"/>
      <c r="BY341" s="36"/>
      <c r="BZ341" s="36"/>
      <c r="CY341" s="33"/>
    </row>
    <row r="342" spans="2:103" s="32" customFormat="1" x14ac:dyDescent="0.15">
      <c r="B342" s="33"/>
      <c r="E342" s="35"/>
      <c r="H342" s="33"/>
      <c r="N342" s="114"/>
      <c r="O342" s="34"/>
      <c r="P342" s="33"/>
      <c r="Q342" s="33"/>
      <c r="AA342" s="33"/>
      <c r="AB342" s="33"/>
      <c r="AC342" s="33"/>
      <c r="AD342" s="139"/>
      <c r="AE342" s="33"/>
      <c r="AL342" s="35"/>
      <c r="AV342" s="35"/>
      <c r="AW342" s="35"/>
      <c r="AX342" s="35"/>
      <c r="AY342" s="36"/>
      <c r="BF342" s="35"/>
      <c r="BG342" s="35"/>
      <c r="BO342" s="35"/>
      <c r="BP342" s="35"/>
      <c r="BW342" s="36"/>
      <c r="BX342" s="36"/>
      <c r="BY342" s="36"/>
      <c r="BZ342" s="36"/>
      <c r="CY342" s="33"/>
    </row>
    <row r="343" spans="2:103" s="32" customFormat="1" x14ac:dyDescent="0.15">
      <c r="B343" s="33"/>
      <c r="E343" s="35"/>
      <c r="H343" s="33"/>
      <c r="N343" s="114"/>
      <c r="O343" s="34"/>
      <c r="P343" s="33"/>
      <c r="Q343" s="33"/>
      <c r="AA343" s="33"/>
      <c r="AB343" s="33"/>
      <c r="AC343" s="33"/>
      <c r="AD343" s="139"/>
      <c r="AE343" s="33"/>
      <c r="AL343" s="35"/>
      <c r="AV343" s="35"/>
      <c r="AW343" s="35"/>
      <c r="AX343" s="35"/>
      <c r="AY343" s="36"/>
      <c r="BF343" s="35"/>
      <c r="BG343" s="35"/>
      <c r="BO343" s="35"/>
      <c r="BP343" s="35"/>
      <c r="BW343" s="36"/>
      <c r="BX343" s="36"/>
      <c r="BY343" s="36"/>
      <c r="BZ343" s="36"/>
      <c r="CY343" s="33"/>
    </row>
    <row r="344" spans="2:103" s="32" customFormat="1" x14ac:dyDescent="0.15">
      <c r="B344" s="33"/>
      <c r="E344" s="35"/>
      <c r="H344" s="33"/>
      <c r="N344" s="114"/>
      <c r="O344" s="34"/>
      <c r="P344" s="33"/>
      <c r="Q344" s="33"/>
      <c r="AA344" s="33"/>
      <c r="AB344" s="33"/>
      <c r="AC344" s="33"/>
      <c r="AD344" s="139"/>
      <c r="AE344" s="33"/>
      <c r="AL344" s="35"/>
      <c r="AV344" s="35"/>
      <c r="AW344" s="35"/>
      <c r="AX344" s="35"/>
      <c r="AY344" s="36"/>
      <c r="BF344" s="35"/>
      <c r="BG344" s="35"/>
      <c r="BO344" s="35"/>
      <c r="BP344" s="35"/>
      <c r="BW344" s="36"/>
      <c r="BX344" s="36"/>
      <c r="BY344" s="36"/>
      <c r="BZ344" s="36"/>
      <c r="CY344" s="33"/>
    </row>
    <row r="345" spans="2:103" s="32" customFormat="1" x14ac:dyDescent="0.15">
      <c r="B345" s="33"/>
      <c r="E345" s="35"/>
      <c r="H345" s="33"/>
      <c r="N345" s="114"/>
      <c r="O345" s="34"/>
      <c r="P345" s="33"/>
      <c r="Q345" s="33"/>
      <c r="AA345" s="33"/>
      <c r="AB345" s="33"/>
      <c r="AC345" s="33"/>
      <c r="AD345" s="139"/>
      <c r="AE345" s="33"/>
      <c r="AL345" s="35"/>
      <c r="AV345" s="35"/>
      <c r="AW345" s="35"/>
      <c r="AX345" s="35"/>
      <c r="AY345" s="36"/>
      <c r="BF345" s="35"/>
      <c r="BG345" s="35"/>
      <c r="BO345" s="35"/>
      <c r="BP345" s="35"/>
      <c r="BW345" s="36"/>
      <c r="BX345" s="36"/>
      <c r="BY345" s="36"/>
      <c r="BZ345" s="36"/>
      <c r="CY345" s="33"/>
    </row>
    <row r="346" spans="2:103" s="32" customFormat="1" x14ac:dyDescent="0.15">
      <c r="B346" s="33"/>
      <c r="E346" s="35"/>
      <c r="H346" s="33"/>
      <c r="N346" s="114"/>
      <c r="O346" s="34"/>
      <c r="P346" s="33"/>
      <c r="Q346" s="33"/>
      <c r="AA346" s="33"/>
      <c r="AB346" s="33"/>
      <c r="AC346" s="33"/>
      <c r="AD346" s="139"/>
      <c r="AE346" s="33"/>
      <c r="AL346" s="35"/>
      <c r="AV346" s="35"/>
      <c r="AW346" s="35"/>
      <c r="AX346" s="35"/>
      <c r="AY346" s="36"/>
      <c r="BF346" s="35"/>
      <c r="BG346" s="35"/>
      <c r="BO346" s="35"/>
      <c r="BP346" s="35"/>
      <c r="BW346" s="36"/>
      <c r="BX346" s="36"/>
      <c r="BY346" s="36"/>
      <c r="BZ346" s="36"/>
      <c r="CY346" s="33"/>
    </row>
    <row r="347" spans="2:103" s="32" customFormat="1" x14ac:dyDescent="0.15">
      <c r="B347" s="33"/>
      <c r="E347" s="35"/>
      <c r="H347" s="33"/>
      <c r="N347" s="114"/>
      <c r="O347" s="34"/>
      <c r="P347" s="33"/>
      <c r="Q347" s="33"/>
      <c r="AA347" s="33"/>
      <c r="AB347" s="33"/>
      <c r="AC347" s="33"/>
      <c r="AD347" s="139"/>
      <c r="AE347" s="33"/>
      <c r="AL347" s="35"/>
      <c r="AV347" s="35"/>
      <c r="AW347" s="35"/>
      <c r="AX347" s="35"/>
      <c r="AY347" s="36"/>
      <c r="BF347" s="35"/>
      <c r="BG347" s="35"/>
      <c r="BO347" s="35"/>
      <c r="BP347" s="35"/>
      <c r="BW347" s="36"/>
      <c r="BX347" s="36"/>
      <c r="BY347" s="36"/>
      <c r="BZ347" s="36"/>
      <c r="CY347" s="33"/>
    </row>
    <row r="348" spans="2:103" s="32" customFormat="1" x14ac:dyDescent="0.15">
      <c r="B348" s="33"/>
      <c r="E348" s="35"/>
      <c r="H348" s="33"/>
      <c r="N348" s="114"/>
      <c r="O348" s="34"/>
      <c r="P348" s="33"/>
      <c r="Q348" s="33"/>
      <c r="AA348" s="33"/>
      <c r="AB348" s="33"/>
      <c r="AC348" s="33"/>
      <c r="AD348" s="139"/>
      <c r="AE348" s="33"/>
      <c r="AL348" s="35"/>
      <c r="AV348" s="35"/>
      <c r="AW348" s="35"/>
      <c r="AX348" s="35"/>
      <c r="AY348" s="36"/>
      <c r="BF348" s="35"/>
      <c r="BG348" s="35"/>
      <c r="BO348" s="35"/>
      <c r="BP348" s="35"/>
      <c r="BW348" s="36"/>
      <c r="BX348" s="36"/>
      <c r="BY348" s="36"/>
      <c r="BZ348" s="36"/>
      <c r="CY348" s="33"/>
    </row>
    <row r="349" spans="2:103" s="32" customFormat="1" x14ac:dyDescent="0.15">
      <c r="B349" s="33"/>
      <c r="E349" s="35"/>
      <c r="H349" s="33"/>
      <c r="N349" s="114"/>
      <c r="O349" s="34"/>
      <c r="P349" s="33"/>
      <c r="Q349" s="33"/>
      <c r="AA349" s="33"/>
      <c r="AB349" s="33"/>
      <c r="AC349" s="33"/>
      <c r="AD349" s="139"/>
      <c r="AE349" s="33"/>
      <c r="AL349" s="35"/>
      <c r="AV349" s="35"/>
      <c r="AW349" s="35"/>
      <c r="AX349" s="35"/>
      <c r="AY349" s="36"/>
      <c r="BF349" s="35"/>
      <c r="BG349" s="35"/>
      <c r="BO349" s="35"/>
      <c r="BP349" s="35"/>
      <c r="BW349" s="36"/>
      <c r="BX349" s="36"/>
      <c r="BY349" s="36"/>
      <c r="BZ349" s="36"/>
      <c r="CY349" s="33"/>
    </row>
    <row r="350" spans="2:103" s="32" customFormat="1" x14ac:dyDescent="0.15">
      <c r="B350" s="33"/>
      <c r="E350" s="35"/>
      <c r="H350" s="33"/>
      <c r="N350" s="114"/>
      <c r="O350" s="34"/>
      <c r="P350" s="33"/>
      <c r="Q350" s="33"/>
      <c r="AA350" s="33"/>
      <c r="AB350" s="33"/>
      <c r="AC350" s="33"/>
      <c r="AD350" s="139"/>
      <c r="AE350" s="33"/>
      <c r="AL350" s="35"/>
      <c r="AV350" s="35"/>
      <c r="AW350" s="35"/>
      <c r="AX350" s="35"/>
      <c r="AY350" s="36"/>
      <c r="BF350" s="35"/>
      <c r="BG350" s="35"/>
      <c r="BO350" s="35"/>
      <c r="BP350" s="35"/>
      <c r="BW350" s="36"/>
      <c r="BX350" s="36"/>
      <c r="BY350" s="36"/>
      <c r="BZ350" s="36"/>
      <c r="CY350" s="33"/>
    </row>
    <row r="351" spans="2:103" s="32" customFormat="1" x14ac:dyDescent="0.15">
      <c r="B351" s="33"/>
      <c r="E351" s="35"/>
      <c r="H351" s="33"/>
      <c r="N351" s="114"/>
      <c r="O351" s="34"/>
      <c r="P351" s="33"/>
      <c r="Q351" s="33"/>
      <c r="AA351" s="33"/>
      <c r="AB351" s="33"/>
      <c r="AC351" s="33"/>
      <c r="AD351" s="139"/>
      <c r="AE351" s="33"/>
      <c r="AL351" s="35"/>
      <c r="AV351" s="35"/>
      <c r="AW351" s="35"/>
      <c r="AX351" s="35"/>
      <c r="AY351" s="36"/>
      <c r="BF351" s="35"/>
      <c r="BG351" s="35"/>
      <c r="BO351" s="35"/>
      <c r="BP351" s="35"/>
      <c r="BW351" s="36"/>
      <c r="BX351" s="36"/>
      <c r="BY351" s="36"/>
      <c r="BZ351" s="36"/>
      <c r="CY351" s="33"/>
    </row>
    <row r="352" spans="2:103" s="32" customFormat="1" x14ac:dyDescent="0.15">
      <c r="B352" s="33"/>
      <c r="E352" s="35"/>
      <c r="H352" s="33"/>
      <c r="N352" s="114"/>
      <c r="O352" s="34"/>
      <c r="P352" s="33"/>
      <c r="Q352" s="33"/>
      <c r="AA352" s="33"/>
      <c r="AB352" s="33"/>
      <c r="AC352" s="33"/>
      <c r="AD352" s="139"/>
      <c r="AE352" s="33"/>
      <c r="AL352" s="35"/>
      <c r="AV352" s="35"/>
      <c r="AW352" s="35"/>
      <c r="AX352" s="35"/>
      <c r="AY352" s="36"/>
      <c r="BF352" s="35"/>
      <c r="BG352" s="35"/>
      <c r="BO352" s="35"/>
      <c r="BP352" s="35"/>
      <c r="BW352" s="36"/>
      <c r="BX352" s="36"/>
      <c r="BY352" s="36"/>
      <c r="BZ352" s="36"/>
      <c r="CY352" s="33"/>
    </row>
    <row r="353" spans="2:103" s="32" customFormat="1" x14ac:dyDescent="0.15">
      <c r="B353" s="33"/>
      <c r="E353" s="35"/>
      <c r="H353" s="33"/>
      <c r="N353" s="114"/>
      <c r="O353" s="34"/>
      <c r="P353" s="33"/>
      <c r="Q353" s="33"/>
      <c r="AA353" s="33"/>
      <c r="AB353" s="33"/>
      <c r="AC353" s="33"/>
      <c r="AD353" s="139"/>
      <c r="AE353" s="33"/>
      <c r="AL353" s="35"/>
      <c r="AV353" s="35"/>
      <c r="AW353" s="35"/>
      <c r="AX353" s="35"/>
      <c r="AY353" s="36"/>
      <c r="BF353" s="35"/>
      <c r="BG353" s="35"/>
      <c r="BO353" s="35"/>
      <c r="BP353" s="35"/>
      <c r="BW353" s="36"/>
      <c r="BX353" s="36"/>
      <c r="BY353" s="36"/>
      <c r="BZ353" s="36"/>
      <c r="CY353" s="33"/>
    </row>
    <row r="354" spans="2:103" s="32" customFormat="1" x14ac:dyDescent="0.15">
      <c r="B354" s="33"/>
      <c r="E354" s="35"/>
      <c r="H354" s="33"/>
      <c r="N354" s="114"/>
      <c r="O354" s="34"/>
      <c r="P354" s="33"/>
      <c r="Q354" s="33"/>
      <c r="AA354" s="33"/>
      <c r="AB354" s="33"/>
      <c r="AC354" s="33"/>
      <c r="AD354" s="139"/>
      <c r="AE354" s="33"/>
      <c r="AL354" s="35"/>
      <c r="AV354" s="35"/>
      <c r="AW354" s="35"/>
      <c r="AX354" s="35"/>
      <c r="AY354" s="36"/>
      <c r="BF354" s="35"/>
      <c r="BG354" s="35"/>
      <c r="BO354" s="35"/>
      <c r="BP354" s="35"/>
      <c r="BW354" s="36"/>
      <c r="BX354" s="36"/>
      <c r="BY354" s="36"/>
      <c r="BZ354" s="36"/>
      <c r="CY354" s="33"/>
    </row>
    <row r="355" spans="2:103" s="32" customFormat="1" x14ac:dyDescent="0.15">
      <c r="B355" s="33"/>
      <c r="E355" s="35"/>
      <c r="H355" s="33"/>
      <c r="N355" s="114"/>
      <c r="O355" s="34"/>
      <c r="P355" s="33"/>
      <c r="Q355" s="33"/>
      <c r="AA355" s="33"/>
      <c r="AB355" s="33"/>
      <c r="AC355" s="33"/>
      <c r="AD355" s="139"/>
      <c r="AE355" s="33"/>
      <c r="AL355" s="35"/>
      <c r="AV355" s="35"/>
      <c r="AW355" s="35"/>
      <c r="AX355" s="35"/>
      <c r="AY355" s="36"/>
      <c r="BF355" s="35"/>
      <c r="BG355" s="35"/>
      <c r="BO355" s="35"/>
      <c r="BP355" s="35"/>
      <c r="BW355" s="36"/>
      <c r="BX355" s="36"/>
      <c r="BY355" s="36"/>
      <c r="BZ355" s="36"/>
      <c r="CY355" s="33"/>
    </row>
    <row r="356" spans="2:103" s="32" customFormat="1" x14ac:dyDescent="0.15">
      <c r="B356" s="33"/>
      <c r="E356" s="35"/>
      <c r="H356" s="33"/>
      <c r="N356" s="114"/>
      <c r="O356" s="34"/>
      <c r="P356" s="33"/>
      <c r="Q356" s="33"/>
      <c r="AA356" s="33"/>
      <c r="AB356" s="33"/>
      <c r="AC356" s="33"/>
      <c r="AD356" s="139"/>
      <c r="AE356" s="33"/>
      <c r="AL356" s="35"/>
      <c r="AV356" s="35"/>
      <c r="AW356" s="35"/>
      <c r="AX356" s="35"/>
      <c r="AY356" s="36"/>
      <c r="BF356" s="35"/>
      <c r="BG356" s="35"/>
      <c r="BO356" s="35"/>
      <c r="BP356" s="35"/>
      <c r="BW356" s="36"/>
      <c r="BX356" s="36"/>
      <c r="BY356" s="36"/>
      <c r="BZ356" s="36"/>
      <c r="CY356" s="33"/>
    </row>
    <row r="357" spans="2:103" s="32" customFormat="1" x14ac:dyDescent="0.15">
      <c r="B357" s="33"/>
      <c r="E357" s="35"/>
      <c r="H357" s="33"/>
      <c r="N357" s="114"/>
      <c r="O357" s="34"/>
      <c r="P357" s="33"/>
      <c r="Q357" s="33"/>
      <c r="AA357" s="33"/>
      <c r="AB357" s="33"/>
      <c r="AC357" s="33"/>
      <c r="AD357" s="139"/>
      <c r="AE357" s="33"/>
      <c r="AL357" s="35"/>
      <c r="AV357" s="35"/>
      <c r="AW357" s="35"/>
      <c r="AX357" s="35"/>
      <c r="AY357" s="36"/>
      <c r="BF357" s="35"/>
      <c r="BG357" s="35"/>
      <c r="BO357" s="35"/>
      <c r="BP357" s="35"/>
      <c r="BW357" s="36"/>
      <c r="BX357" s="36"/>
      <c r="BY357" s="36"/>
      <c r="BZ357" s="36"/>
      <c r="CY357" s="33"/>
    </row>
    <row r="358" spans="2:103" s="32" customFormat="1" x14ac:dyDescent="0.15">
      <c r="B358" s="33"/>
      <c r="E358" s="35"/>
      <c r="H358" s="33"/>
      <c r="N358" s="114"/>
      <c r="O358" s="34"/>
      <c r="P358" s="33"/>
      <c r="Q358" s="33"/>
      <c r="AA358" s="33"/>
      <c r="AB358" s="33"/>
      <c r="AC358" s="33"/>
      <c r="AD358" s="139"/>
      <c r="AE358" s="33"/>
      <c r="AL358" s="35"/>
      <c r="AV358" s="35"/>
      <c r="AW358" s="35"/>
      <c r="AX358" s="35"/>
      <c r="AY358" s="36"/>
      <c r="BF358" s="35"/>
      <c r="BG358" s="35"/>
      <c r="BO358" s="35"/>
      <c r="BP358" s="35"/>
      <c r="BW358" s="36"/>
      <c r="BX358" s="36"/>
      <c r="BY358" s="36"/>
      <c r="BZ358" s="36"/>
      <c r="CY358" s="33"/>
    </row>
    <row r="359" spans="2:103" s="32" customFormat="1" x14ac:dyDescent="0.15">
      <c r="B359" s="33"/>
      <c r="E359" s="35"/>
      <c r="H359" s="33"/>
      <c r="N359" s="114"/>
      <c r="O359" s="34"/>
      <c r="P359" s="33"/>
      <c r="Q359" s="33"/>
      <c r="AA359" s="33"/>
      <c r="AB359" s="33"/>
      <c r="AC359" s="33"/>
      <c r="AD359" s="139"/>
      <c r="AE359" s="33"/>
      <c r="AL359" s="35"/>
      <c r="AV359" s="35"/>
      <c r="AW359" s="35"/>
      <c r="AX359" s="35"/>
      <c r="AY359" s="36"/>
      <c r="BF359" s="35"/>
      <c r="BG359" s="35"/>
      <c r="BO359" s="35"/>
      <c r="BP359" s="35"/>
      <c r="BW359" s="36"/>
      <c r="BX359" s="36"/>
      <c r="BY359" s="36"/>
      <c r="BZ359" s="36"/>
      <c r="CY359" s="33"/>
    </row>
    <row r="360" spans="2:103" s="32" customFormat="1" x14ac:dyDescent="0.15">
      <c r="B360" s="33"/>
      <c r="E360" s="35"/>
      <c r="H360" s="33"/>
      <c r="N360" s="114"/>
      <c r="O360" s="34"/>
      <c r="P360" s="33"/>
      <c r="Q360" s="33"/>
      <c r="AA360" s="33"/>
      <c r="AB360" s="33"/>
      <c r="AC360" s="33"/>
      <c r="AD360" s="139"/>
      <c r="AE360" s="33"/>
      <c r="AL360" s="35"/>
      <c r="AV360" s="35"/>
      <c r="AW360" s="35"/>
      <c r="AX360" s="35"/>
      <c r="AY360" s="36"/>
      <c r="BF360" s="35"/>
      <c r="BG360" s="35"/>
      <c r="BO360" s="35"/>
      <c r="BP360" s="35"/>
      <c r="BW360" s="36"/>
      <c r="BX360" s="36"/>
      <c r="BY360" s="36"/>
      <c r="BZ360" s="36"/>
      <c r="CY360" s="33"/>
    </row>
    <row r="361" spans="2:103" s="32" customFormat="1" x14ac:dyDescent="0.15">
      <c r="B361" s="33"/>
      <c r="E361" s="35"/>
      <c r="H361" s="33"/>
      <c r="N361" s="114"/>
      <c r="O361" s="34"/>
      <c r="P361" s="33"/>
      <c r="Q361" s="33"/>
      <c r="AA361" s="33"/>
      <c r="AB361" s="33"/>
      <c r="AC361" s="33"/>
      <c r="AD361" s="139"/>
      <c r="AE361" s="33"/>
      <c r="AL361" s="35"/>
      <c r="AV361" s="35"/>
      <c r="AW361" s="35"/>
      <c r="AX361" s="35"/>
      <c r="AY361" s="36"/>
      <c r="BF361" s="35"/>
      <c r="BG361" s="35"/>
      <c r="BO361" s="35"/>
      <c r="BP361" s="35"/>
      <c r="BW361" s="36"/>
      <c r="BX361" s="36"/>
      <c r="BY361" s="36"/>
      <c r="BZ361" s="36"/>
      <c r="CY361" s="33"/>
    </row>
    <row r="362" spans="2:103" s="32" customFormat="1" x14ac:dyDescent="0.15">
      <c r="B362" s="33"/>
      <c r="E362" s="35"/>
      <c r="H362" s="33"/>
      <c r="N362" s="114"/>
      <c r="O362" s="34"/>
      <c r="P362" s="33"/>
      <c r="Q362" s="33"/>
      <c r="AA362" s="33"/>
      <c r="AB362" s="33"/>
      <c r="AC362" s="33"/>
      <c r="AD362" s="139"/>
      <c r="AE362" s="33"/>
      <c r="AL362" s="35"/>
      <c r="AV362" s="35"/>
      <c r="AW362" s="35"/>
      <c r="AX362" s="35"/>
      <c r="AY362" s="36"/>
      <c r="BF362" s="35"/>
      <c r="BG362" s="35"/>
      <c r="BO362" s="35"/>
      <c r="BP362" s="35"/>
      <c r="BW362" s="36"/>
      <c r="BX362" s="36"/>
      <c r="BY362" s="36"/>
      <c r="BZ362" s="36"/>
      <c r="CY362" s="33"/>
    </row>
    <row r="363" spans="2:103" s="32" customFormat="1" x14ac:dyDescent="0.15">
      <c r="B363" s="33"/>
      <c r="E363" s="35"/>
      <c r="H363" s="33"/>
      <c r="N363" s="114"/>
      <c r="O363" s="34"/>
      <c r="P363" s="33"/>
      <c r="Q363" s="33"/>
      <c r="AA363" s="33"/>
      <c r="AB363" s="33"/>
      <c r="AC363" s="33"/>
      <c r="AD363" s="139"/>
      <c r="AE363" s="33"/>
      <c r="AL363" s="35"/>
      <c r="AV363" s="35"/>
      <c r="AW363" s="35"/>
      <c r="AX363" s="35"/>
      <c r="AY363" s="36"/>
      <c r="BF363" s="35"/>
      <c r="BG363" s="35"/>
      <c r="BO363" s="35"/>
      <c r="BP363" s="35"/>
      <c r="BW363" s="36"/>
      <c r="BX363" s="36"/>
      <c r="BY363" s="36"/>
      <c r="BZ363" s="36"/>
      <c r="CY363" s="33"/>
    </row>
    <row r="364" spans="2:103" s="32" customFormat="1" x14ac:dyDescent="0.15">
      <c r="B364" s="33"/>
      <c r="E364" s="35"/>
      <c r="H364" s="33"/>
      <c r="N364" s="114"/>
      <c r="O364" s="34"/>
      <c r="P364" s="33"/>
      <c r="Q364" s="33"/>
      <c r="AA364" s="33"/>
      <c r="AB364" s="33"/>
      <c r="AC364" s="33"/>
      <c r="AD364" s="139"/>
      <c r="AE364" s="33"/>
      <c r="AL364" s="35"/>
      <c r="AV364" s="35"/>
      <c r="AW364" s="35"/>
      <c r="AX364" s="35"/>
      <c r="AY364" s="36"/>
      <c r="BF364" s="35"/>
      <c r="BG364" s="35"/>
      <c r="BO364" s="35"/>
      <c r="BP364" s="35"/>
      <c r="BW364" s="36"/>
      <c r="BX364" s="36"/>
      <c r="BY364" s="36"/>
      <c r="BZ364" s="36"/>
      <c r="CY364" s="33"/>
    </row>
    <row r="365" spans="2:103" s="32" customFormat="1" x14ac:dyDescent="0.15">
      <c r="B365" s="33"/>
      <c r="E365" s="35"/>
      <c r="H365" s="33"/>
      <c r="N365" s="114"/>
      <c r="O365" s="34"/>
      <c r="P365" s="33"/>
      <c r="Q365" s="33"/>
      <c r="AA365" s="33"/>
      <c r="AB365" s="33"/>
      <c r="AC365" s="33"/>
      <c r="AD365" s="139"/>
      <c r="AE365" s="33"/>
      <c r="AL365" s="35"/>
      <c r="AV365" s="35"/>
      <c r="AW365" s="35"/>
      <c r="AX365" s="35"/>
      <c r="AY365" s="36"/>
      <c r="BF365" s="35"/>
      <c r="BG365" s="35"/>
      <c r="BO365" s="35"/>
      <c r="BP365" s="35"/>
      <c r="BW365" s="36"/>
      <c r="BX365" s="36"/>
      <c r="BY365" s="36"/>
      <c r="BZ365" s="36"/>
      <c r="CY365" s="33"/>
    </row>
    <row r="366" spans="2:103" s="32" customFormat="1" x14ac:dyDescent="0.15">
      <c r="B366" s="33"/>
      <c r="E366" s="35"/>
      <c r="H366" s="33"/>
      <c r="N366" s="114"/>
      <c r="O366" s="34"/>
      <c r="P366" s="33"/>
      <c r="Q366" s="33"/>
      <c r="AA366" s="33"/>
      <c r="AB366" s="33"/>
      <c r="AC366" s="33"/>
      <c r="AD366" s="139"/>
      <c r="AE366" s="33"/>
      <c r="AL366" s="35"/>
      <c r="AV366" s="35"/>
      <c r="AW366" s="35"/>
      <c r="AX366" s="35"/>
      <c r="AY366" s="36"/>
      <c r="BF366" s="35"/>
      <c r="BG366" s="35"/>
      <c r="BO366" s="35"/>
      <c r="BP366" s="35"/>
      <c r="BW366" s="36"/>
      <c r="BX366" s="36"/>
      <c r="BY366" s="36"/>
      <c r="BZ366" s="36"/>
      <c r="CY366" s="33"/>
    </row>
    <row r="367" spans="2:103" s="32" customFormat="1" x14ac:dyDescent="0.15">
      <c r="B367" s="33"/>
      <c r="E367" s="35"/>
      <c r="H367" s="33"/>
      <c r="N367" s="114"/>
      <c r="O367" s="34"/>
      <c r="P367" s="33"/>
      <c r="Q367" s="33"/>
      <c r="AA367" s="33"/>
      <c r="AB367" s="33"/>
      <c r="AC367" s="33"/>
      <c r="AD367" s="139"/>
      <c r="AE367" s="33"/>
      <c r="AL367" s="35"/>
      <c r="AV367" s="35"/>
      <c r="AW367" s="35"/>
      <c r="AX367" s="35"/>
      <c r="AY367" s="36"/>
      <c r="BF367" s="35"/>
      <c r="BG367" s="35"/>
      <c r="BO367" s="35"/>
      <c r="BP367" s="35"/>
      <c r="BW367" s="36"/>
      <c r="BX367" s="36"/>
      <c r="BY367" s="36"/>
      <c r="BZ367" s="36"/>
      <c r="CY367" s="33"/>
    </row>
    <row r="368" spans="2:103" s="32" customFormat="1" x14ac:dyDescent="0.15">
      <c r="B368" s="33"/>
      <c r="E368" s="35"/>
      <c r="H368" s="33"/>
      <c r="N368" s="114"/>
      <c r="O368" s="34"/>
      <c r="P368" s="33"/>
      <c r="Q368" s="33"/>
      <c r="AA368" s="33"/>
      <c r="AB368" s="33"/>
      <c r="AC368" s="33"/>
      <c r="AD368" s="139"/>
      <c r="AE368" s="33"/>
      <c r="AL368" s="35"/>
      <c r="AV368" s="35"/>
      <c r="AW368" s="35"/>
      <c r="AX368" s="35"/>
      <c r="AY368" s="36"/>
      <c r="BF368" s="35"/>
      <c r="BG368" s="35"/>
      <c r="BO368" s="35"/>
      <c r="BP368" s="35"/>
      <c r="BW368" s="36"/>
      <c r="BX368" s="36"/>
      <c r="BY368" s="36"/>
      <c r="BZ368" s="36"/>
      <c r="CY368" s="33"/>
    </row>
    <row r="369" spans="2:103" s="32" customFormat="1" x14ac:dyDescent="0.15">
      <c r="B369" s="33"/>
      <c r="E369" s="35"/>
      <c r="H369" s="33"/>
      <c r="N369" s="114"/>
      <c r="O369" s="34"/>
      <c r="P369" s="33"/>
      <c r="Q369" s="33"/>
      <c r="AA369" s="33"/>
      <c r="AB369" s="33"/>
      <c r="AC369" s="33"/>
      <c r="AD369" s="139"/>
      <c r="AE369" s="33"/>
      <c r="AL369" s="35"/>
      <c r="AV369" s="35"/>
      <c r="AW369" s="35"/>
      <c r="AX369" s="35"/>
      <c r="AY369" s="36"/>
      <c r="BF369" s="35"/>
      <c r="BG369" s="35"/>
      <c r="BO369" s="35"/>
      <c r="BP369" s="35"/>
      <c r="BW369" s="36"/>
      <c r="BX369" s="36"/>
      <c r="BY369" s="36"/>
      <c r="BZ369" s="36"/>
      <c r="CY369" s="33"/>
    </row>
    <row r="370" spans="2:103" s="32" customFormat="1" x14ac:dyDescent="0.15">
      <c r="B370" s="33"/>
      <c r="E370" s="35"/>
      <c r="H370" s="33"/>
      <c r="N370" s="114"/>
      <c r="O370" s="34"/>
      <c r="P370" s="33"/>
      <c r="Q370" s="33"/>
      <c r="AA370" s="33"/>
      <c r="AB370" s="33"/>
      <c r="AC370" s="33"/>
      <c r="AD370" s="139"/>
      <c r="AE370" s="33"/>
      <c r="AL370" s="35"/>
      <c r="AV370" s="35"/>
      <c r="AW370" s="35"/>
      <c r="AX370" s="35"/>
      <c r="AY370" s="36"/>
      <c r="BF370" s="35"/>
      <c r="BG370" s="35"/>
      <c r="BO370" s="35"/>
      <c r="BP370" s="35"/>
      <c r="BW370" s="36"/>
      <c r="BX370" s="36"/>
      <c r="BY370" s="36"/>
      <c r="BZ370" s="36"/>
      <c r="CY370" s="33"/>
    </row>
    <row r="371" spans="2:103" s="32" customFormat="1" x14ac:dyDescent="0.15">
      <c r="B371" s="33"/>
      <c r="E371" s="35"/>
      <c r="H371" s="33"/>
      <c r="N371" s="114"/>
      <c r="O371" s="34"/>
      <c r="P371" s="33"/>
      <c r="Q371" s="33"/>
      <c r="AA371" s="33"/>
      <c r="AB371" s="33"/>
      <c r="AC371" s="33"/>
      <c r="AD371" s="139"/>
      <c r="AE371" s="33"/>
      <c r="AL371" s="35"/>
      <c r="AV371" s="35"/>
      <c r="AW371" s="35"/>
      <c r="AX371" s="35"/>
      <c r="AY371" s="36"/>
      <c r="BF371" s="35"/>
      <c r="BG371" s="35"/>
      <c r="BO371" s="35"/>
      <c r="BP371" s="35"/>
      <c r="BW371" s="36"/>
      <c r="BX371" s="36"/>
      <c r="BY371" s="36"/>
      <c r="BZ371" s="36"/>
      <c r="CY371" s="33"/>
    </row>
    <row r="372" spans="2:103" s="32" customFormat="1" x14ac:dyDescent="0.15">
      <c r="B372" s="33"/>
      <c r="E372" s="35"/>
      <c r="H372" s="33"/>
      <c r="N372" s="114"/>
      <c r="O372" s="34"/>
      <c r="P372" s="33"/>
      <c r="Q372" s="33"/>
      <c r="AA372" s="33"/>
      <c r="AB372" s="33"/>
      <c r="AC372" s="33"/>
      <c r="AD372" s="139"/>
      <c r="AE372" s="33"/>
      <c r="AL372" s="35"/>
      <c r="AV372" s="35"/>
      <c r="AW372" s="35"/>
      <c r="AX372" s="35"/>
      <c r="AY372" s="36"/>
      <c r="BF372" s="35"/>
      <c r="BG372" s="35"/>
      <c r="BO372" s="35"/>
      <c r="BP372" s="35"/>
      <c r="BW372" s="36"/>
      <c r="BX372" s="36"/>
      <c r="BY372" s="36"/>
      <c r="BZ372" s="36"/>
      <c r="CY372" s="33"/>
    </row>
    <row r="373" spans="2:103" s="32" customFormat="1" x14ac:dyDescent="0.15">
      <c r="B373" s="33"/>
      <c r="E373" s="35"/>
      <c r="H373" s="33"/>
      <c r="N373" s="114"/>
      <c r="O373" s="34"/>
      <c r="P373" s="33"/>
      <c r="Q373" s="33"/>
      <c r="AA373" s="33"/>
      <c r="AB373" s="33"/>
      <c r="AC373" s="33"/>
      <c r="AD373" s="139"/>
      <c r="AE373" s="33"/>
      <c r="AL373" s="35"/>
      <c r="AV373" s="35"/>
      <c r="AW373" s="35"/>
      <c r="AX373" s="35"/>
      <c r="AY373" s="36"/>
      <c r="BF373" s="35"/>
      <c r="BG373" s="35"/>
      <c r="BO373" s="35"/>
      <c r="BP373" s="35"/>
      <c r="BW373" s="36"/>
      <c r="BX373" s="36"/>
      <c r="BY373" s="36"/>
      <c r="BZ373" s="36"/>
      <c r="CY373" s="33"/>
    </row>
    <row r="374" spans="2:103" s="32" customFormat="1" x14ac:dyDescent="0.15">
      <c r="B374" s="33"/>
      <c r="E374" s="35"/>
      <c r="H374" s="33"/>
      <c r="N374" s="114"/>
      <c r="O374" s="34"/>
      <c r="P374" s="33"/>
      <c r="Q374" s="33"/>
      <c r="AA374" s="33"/>
      <c r="AB374" s="33"/>
      <c r="AC374" s="33"/>
      <c r="AD374" s="139"/>
      <c r="AE374" s="33"/>
      <c r="AL374" s="35"/>
      <c r="AV374" s="35"/>
      <c r="AW374" s="35"/>
      <c r="AX374" s="35"/>
      <c r="AY374" s="36"/>
      <c r="BF374" s="35"/>
      <c r="BG374" s="35"/>
      <c r="BO374" s="35"/>
      <c r="BP374" s="35"/>
      <c r="BW374" s="36"/>
      <c r="BX374" s="36"/>
      <c r="BY374" s="36"/>
      <c r="BZ374" s="36"/>
      <c r="CY374" s="33"/>
    </row>
    <row r="375" spans="2:103" s="32" customFormat="1" x14ac:dyDescent="0.15">
      <c r="B375" s="33"/>
      <c r="E375" s="35"/>
      <c r="H375" s="33"/>
      <c r="N375" s="114"/>
      <c r="O375" s="34"/>
      <c r="P375" s="33"/>
      <c r="Q375" s="33"/>
      <c r="AA375" s="33"/>
      <c r="AB375" s="33"/>
      <c r="AC375" s="33"/>
      <c r="AD375" s="139"/>
      <c r="AE375" s="33"/>
      <c r="AL375" s="35"/>
      <c r="AV375" s="35"/>
      <c r="AW375" s="35"/>
      <c r="AX375" s="35"/>
      <c r="AY375" s="36"/>
      <c r="BF375" s="35"/>
      <c r="BG375" s="35"/>
      <c r="BO375" s="35"/>
      <c r="BP375" s="35"/>
      <c r="BW375" s="36"/>
      <c r="BX375" s="36"/>
      <c r="BY375" s="36"/>
      <c r="BZ375" s="36"/>
      <c r="CY375" s="33"/>
    </row>
    <row r="376" spans="2:103" s="32" customFormat="1" x14ac:dyDescent="0.15">
      <c r="B376" s="33"/>
      <c r="E376" s="35"/>
      <c r="H376" s="33"/>
      <c r="N376" s="114"/>
      <c r="O376" s="34"/>
      <c r="P376" s="33"/>
      <c r="Q376" s="33"/>
      <c r="AA376" s="33"/>
      <c r="AB376" s="33"/>
      <c r="AC376" s="33"/>
      <c r="AD376" s="139"/>
      <c r="AE376" s="33"/>
      <c r="AL376" s="35"/>
      <c r="AV376" s="35"/>
      <c r="AW376" s="35"/>
      <c r="AX376" s="35"/>
      <c r="AY376" s="36"/>
      <c r="BF376" s="35"/>
      <c r="BG376" s="35"/>
      <c r="BO376" s="35"/>
      <c r="BP376" s="35"/>
      <c r="BW376" s="36"/>
      <c r="BX376" s="36"/>
      <c r="BY376" s="36"/>
      <c r="BZ376" s="36"/>
      <c r="CY376" s="33"/>
    </row>
    <row r="377" spans="2:103" s="32" customFormat="1" x14ac:dyDescent="0.15">
      <c r="B377" s="33"/>
      <c r="E377" s="35"/>
      <c r="H377" s="33"/>
      <c r="N377" s="114"/>
      <c r="O377" s="34"/>
      <c r="P377" s="33"/>
      <c r="Q377" s="33"/>
      <c r="AA377" s="33"/>
      <c r="AB377" s="33"/>
      <c r="AC377" s="33"/>
      <c r="AD377" s="139"/>
      <c r="AE377" s="33"/>
      <c r="AL377" s="35"/>
      <c r="AV377" s="35"/>
      <c r="AW377" s="35"/>
      <c r="AX377" s="35"/>
      <c r="AY377" s="36"/>
      <c r="BF377" s="35"/>
      <c r="BG377" s="35"/>
      <c r="BO377" s="35"/>
      <c r="BP377" s="35"/>
      <c r="BW377" s="36"/>
      <c r="BX377" s="36"/>
      <c r="BY377" s="36"/>
      <c r="BZ377" s="36"/>
      <c r="CY377" s="33"/>
    </row>
    <row r="378" spans="2:103" s="32" customFormat="1" x14ac:dyDescent="0.15">
      <c r="B378" s="33"/>
      <c r="E378" s="35"/>
      <c r="H378" s="33"/>
      <c r="N378" s="114"/>
      <c r="O378" s="34"/>
      <c r="P378" s="33"/>
      <c r="Q378" s="33"/>
      <c r="AA378" s="33"/>
      <c r="AB378" s="33"/>
      <c r="AC378" s="33"/>
      <c r="AD378" s="139"/>
      <c r="AE378" s="33"/>
      <c r="AL378" s="35"/>
      <c r="AV378" s="35"/>
      <c r="AW378" s="35"/>
      <c r="AX378" s="35"/>
      <c r="AY378" s="36"/>
      <c r="BF378" s="35"/>
      <c r="BG378" s="35"/>
      <c r="BO378" s="35"/>
      <c r="BP378" s="35"/>
      <c r="BW378" s="36"/>
      <c r="BX378" s="36"/>
      <c r="BY378" s="36"/>
      <c r="BZ378" s="36"/>
      <c r="CY378" s="33"/>
    </row>
    <row r="379" spans="2:103" s="32" customFormat="1" x14ac:dyDescent="0.15">
      <c r="B379" s="33"/>
      <c r="E379" s="35"/>
      <c r="H379" s="33"/>
      <c r="N379" s="114"/>
      <c r="O379" s="34"/>
      <c r="P379" s="33"/>
      <c r="Q379" s="33"/>
      <c r="AA379" s="33"/>
      <c r="AB379" s="33"/>
      <c r="AC379" s="33"/>
      <c r="AD379" s="139"/>
      <c r="AE379" s="33"/>
      <c r="AL379" s="35"/>
      <c r="AV379" s="35"/>
      <c r="AW379" s="35"/>
      <c r="AX379" s="35"/>
      <c r="AY379" s="36"/>
      <c r="BF379" s="35"/>
      <c r="BG379" s="35"/>
      <c r="BO379" s="35"/>
      <c r="BP379" s="35"/>
      <c r="BW379" s="36"/>
      <c r="BX379" s="36"/>
      <c r="BY379" s="36"/>
      <c r="BZ379" s="36"/>
      <c r="CY379" s="33"/>
    </row>
    <row r="380" spans="2:103" s="32" customFormat="1" x14ac:dyDescent="0.15">
      <c r="B380" s="33"/>
      <c r="E380" s="35"/>
      <c r="H380" s="33"/>
      <c r="N380" s="114"/>
      <c r="O380" s="34"/>
      <c r="P380" s="33"/>
      <c r="Q380" s="33"/>
      <c r="AA380" s="33"/>
      <c r="AB380" s="33"/>
      <c r="AC380" s="33"/>
      <c r="AD380" s="139"/>
      <c r="AE380" s="33"/>
      <c r="AL380" s="35"/>
      <c r="AV380" s="35"/>
      <c r="AW380" s="35"/>
      <c r="AX380" s="35"/>
      <c r="AY380" s="36"/>
      <c r="BF380" s="35"/>
      <c r="BG380" s="35"/>
      <c r="BO380" s="35"/>
      <c r="BP380" s="35"/>
      <c r="BW380" s="36"/>
      <c r="BX380" s="36"/>
      <c r="BY380" s="36"/>
      <c r="BZ380" s="36"/>
      <c r="CY380" s="33"/>
    </row>
    <row r="381" spans="2:103" s="32" customFormat="1" x14ac:dyDescent="0.15">
      <c r="B381" s="33"/>
      <c r="E381" s="35"/>
      <c r="H381" s="33"/>
      <c r="N381" s="114"/>
      <c r="O381" s="34"/>
      <c r="P381" s="33"/>
      <c r="Q381" s="33"/>
      <c r="AA381" s="33"/>
      <c r="AB381" s="33"/>
      <c r="AC381" s="33"/>
      <c r="AD381" s="139"/>
      <c r="AE381" s="33"/>
      <c r="AL381" s="35"/>
      <c r="AV381" s="35"/>
      <c r="AW381" s="35"/>
      <c r="AX381" s="35"/>
      <c r="AY381" s="36"/>
      <c r="BF381" s="35"/>
      <c r="BG381" s="35"/>
      <c r="BO381" s="35"/>
      <c r="BP381" s="35"/>
      <c r="BW381" s="36"/>
      <c r="BX381" s="36"/>
      <c r="BY381" s="36"/>
      <c r="BZ381" s="36"/>
      <c r="CY381" s="33"/>
    </row>
    <row r="382" spans="2:103" s="32" customFormat="1" x14ac:dyDescent="0.15">
      <c r="B382" s="33"/>
      <c r="E382" s="35"/>
      <c r="H382" s="33"/>
      <c r="N382" s="114"/>
      <c r="O382" s="34"/>
      <c r="P382" s="33"/>
      <c r="Q382" s="33"/>
      <c r="AA382" s="33"/>
      <c r="AB382" s="33"/>
      <c r="AC382" s="33"/>
      <c r="AD382" s="139"/>
      <c r="AE382" s="33"/>
      <c r="AL382" s="35"/>
      <c r="AV382" s="35"/>
      <c r="AW382" s="35"/>
      <c r="AX382" s="35"/>
      <c r="AY382" s="36"/>
      <c r="BF382" s="35"/>
      <c r="BG382" s="35"/>
      <c r="BO382" s="35"/>
      <c r="BP382" s="35"/>
      <c r="BW382" s="36"/>
      <c r="BX382" s="36"/>
      <c r="BY382" s="36"/>
      <c r="BZ382" s="36"/>
      <c r="CY382" s="33"/>
    </row>
    <row r="383" spans="2:103" s="32" customFormat="1" x14ac:dyDescent="0.15">
      <c r="B383" s="33"/>
      <c r="E383" s="35"/>
      <c r="H383" s="33"/>
      <c r="N383" s="114"/>
      <c r="O383" s="34"/>
      <c r="P383" s="33"/>
      <c r="Q383" s="33"/>
      <c r="AA383" s="33"/>
      <c r="AB383" s="33"/>
      <c r="AC383" s="33"/>
      <c r="AD383" s="139"/>
      <c r="AE383" s="33"/>
      <c r="AL383" s="35"/>
      <c r="AV383" s="35"/>
      <c r="AW383" s="35"/>
      <c r="AX383" s="35"/>
      <c r="AY383" s="36"/>
      <c r="BF383" s="35"/>
      <c r="BG383" s="35"/>
      <c r="BO383" s="35"/>
      <c r="BP383" s="35"/>
      <c r="BW383" s="36"/>
      <c r="BX383" s="36"/>
      <c r="BY383" s="36"/>
      <c r="BZ383" s="36"/>
      <c r="CY383" s="33"/>
    </row>
    <row r="384" spans="2:103" s="32" customFormat="1" x14ac:dyDescent="0.15">
      <c r="B384" s="33"/>
      <c r="E384" s="35"/>
      <c r="H384" s="33"/>
      <c r="N384" s="114"/>
      <c r="O384" s="34"/>
      <c r="P384" s="33"/>
      <c r="Q384" s="33"/>
      <c r="AA384" s="33"/>
      <c r="AB384" s="33"/>
      <c r="AC384" s="33"/>
      <c r="AD384" s="139"/>
      <c r="AE384" s="33"/>
      <c r="AL384" s="35"/>
      <c r="AV384" s="35"/>
      <c r="AW384" s="35"/>
      <c r="AX384" s="35"/>
      <c r="AY384" s="36"/>
      <c r="BF384" s="35"/>
      <c r="BG384" s="35"/>
      <c r="BO384" s="35"/>
      <c r="BP384" s="35"/>
      <c r="BW384" s="36"/>
      <c r="BX384" s="36"/>
      <c r="BY384" s="36"/>
      <c r="BZ384" s="36"/>
      <c r="CY384" s="33"/>
    </row>
    <row r="385" spans="2:103" s="32" customFormat="1" x14ac:dyDescent="0.15">
      <c r="B385" s="33"/>
      <c r="E385" s="35"/>
      <c r="H385" s="33"/>
      <c r="N385" s="114"/>
      <c r="O385" s="34"/>
      <c r="P385" s="33"/>
      <c r="Q385" s="33"/>
      <c r="AA385" s="33"/>
      <c r="AB385" s="33"/>
      <c r="AC385" s="33"/>
      <c r="AD385" s="139"/>
      <c r="AE385" s="33"/>
      <c r="AL385" s="35"/>
      <c r="AV385" s="35"/>
      <c r="AW385" s="35"/>
      <c r="AX385" s="35"/>
      <c r="AY385" s="36"/>
      <c r="BF385" s="35"/>
      <c r="BG385" s="35"/>
      <c r="BO385" s="35"/>
      <c r="BP385" s="35"/>
      <c r="BW385" s="36"/>
      <c r="BX385" s="36"/>
      <c r="BY385" s="36"/>
      <c r="BZ385" s="36"/>
      <c r="CY385" s="33"/>
    </row>
    <row r="386" spans="2:103" s="32" customFormat="1" x14ac:dyDescent="0.15">
      <c r="B386" s="33"/>
      <c r="E386" s="35"/>
      <c r="H386" s="33"/>
      <c r="N386" s="114"/>
      <c r="O386" s="34"/>
      <c r="P386" s="33"/>
      <c r="Q386" s="33"/>
      <c r="AA386" s="33"/>
      <c r="AB386" s="33"/>
      <c r="AC386" s="33"/>
      <c r="AD386" s="139"/>
      <c r="AE386" s="33"/>
      <c r="AL386" s="35"/>
      <c r="AV386" s="35"/>
      <c r="AW386" s="35"/>
      <c r="AX386" s="35"/>
      <c r="AY386" s="36"/>
      <c r="BF386" s="35"/>
      <c r="BG386" s="35"/>
      <c r="BO386" s="35"/>
      <c r="BP386" s="35"/>
      <c r="BW386" s="36"/>
      <c r="BX386" s="36"/>
      <c r="BY386" s="36"/>
      <c r="BZ386" s="36"/>
      <c r="CY386" s="33"/>
    </row>
    <row r="387" spans="2:103" s="32" customFormat="1" x14ac:dyDescent="0.15">
      <c r="B387" s="33"/>
      <c r="E387" s="35"/>
      <c r="H387" s="33"/>
      <c r="N387" s="114"/>
      <c r="O387" s="34"/>
      <c r="P387" s="33"/>
      <c r="Q387" s="33"/>
      <c r="AA387" s="33"/>
      <c r="AB387" s="33"/>
      <c r="AC387" s="33"/>
      <c r="AD387" s="139"/>
      <c r="AE387" s="33"/>
      <c r="AL387" s="35"/>
      <c r="AV387" s="35"/>
      <c r="AW387" s="35"/>
      <c r="AX387" s="35"/>
      <c r="AY387" s="36"/>
      <c r="BF387" s="35"/>
      <c r="BG387" s="35"/>
      <c r="BO387" s="35"/>
      <c r="BP387" s="35"/>
      <c r="BW387" s="36"/>
      <c r="BX387" s="36"/>
      <c r="BY387" s="36"/>
      <c r="BZ387" s="36"/>
      <c r="CY387" s="33"/>
    </row>
    <row r="388" spans="2:103" s="32" customFormat="1" x14ac:dyDescent="0.15">
      <c r="B388" s="33"/>
      <c r="E388" s="35"/>
      <c r="H388" s="33"/>
      <c r="N388" s="114"/>
      <c r="O388" s="34"/>
      <c r="P388" s="33"/>
      <c r="Q388" s="33"/>
      <c r="AA388" s="33"/>
      <c r="AB388" s="33"/>
      <c r="AC388" s="33"/>
      <c r="AD388" s="139"/>
      <c r="AE388" s="33"/>
      <c r="AL388" s="35"/>
      <c r="AV388" s="35"/>
      <c r="AW388" s="35"/>
      <c r="AX388" s="35"/>
      <c r="AY388" s="36"/>
      <c r="BF388" s="35"/>
      <c r="BG388" s="35"/>
      <c r="BO388" s="35"/>
      <c r="BP388" s="35"/>
      <c r="BW388" s="36"/>
      <c r="BX388" s="36"/>
      <c r="BY388" s="36"/>
      <c r="BZ388" s="36"/>
      <c r="CY388" s="33"/>
    </row>
    <row r="389" spans="2:103" s="32" customFormat="1" x14ac:dyDescent="0.15">
      <c r="B389" s="33"/>
      <c r="E389" s="35"/>
      <c r="H389" s="33"/>
      <c r="N389" s="114"/>
      <c r="O389" s="34"/>
      <c r="P389" s="33"/>
      <c r="Q389" s="33"/>
      <c r="AA389" s="33"/>
      <c r="AB389" s="33"/>
      <c r="AC389" s="33"/>
      <c r="AD389" s="139"/>
      <c r="AE389" s="33"/>
      <c r="AL389" s="35"/>
      <c r="AV389" s="35"/>
      <c r="AW389" s="35"/>
      <c r="AX389" s="35"/>
      <c r="AY389" s="36"/>
      <c r="BF389" s="35"/>
      <c r="BG389" s="35"/>
      <c r="BO389" s="35"/>
      <c r="BP389" s="35"/>
      <c r="BW389" s="36"/>
      <c r="BX389" s="36"/>
      <c r="BY389" s="36"/>
      <c r="BZ389" s="36"/>
      <c r="CY389" s="33"/>
    </row>
    <row r="390" spans="2:103" s="32" customFormat="1" x14ac:dyDescent="0.15">
      <c r="B390" s="33"/>
      <c r="E390" s="35"/>
      <c r="H390" s="33"/>
      <c r="N390" s="114"/>
      <c r="O390" s="34"/>
      <c r="P390" s="33"/>
      <c r="Q390" s="33"/>
      <c r="AA390" s="33"/>
      <c r="AB390" s="33"/>
      <c r="AC390" s="33"/>
      <c r="AD390" s="139"/>
      <c r="AE390" s="33"/>
      <c r="AL390" s="35"/>
      <c r="AV390" s="35"/>
      <c r="AW390" s="35"/>
      <c r="AX390" s="35"/>
      <c r="AY390" s="36"/>
      <c r="BF390" s="35"/>
      <c r="BG390" s="35"/>
      <c r="BO390" s="35"/>
      <c r="BP390" s="35"/>
      <c r="BW390" s="36"/>
      <c r="BX390" s="36"/>
      <c r="BY390" s="36"/>
      <c r="BZ390" s="36"/>
      <c r="CY390" s="33"/>
    </row>
    <row r="391" spans="2:103" s="32" customFormat="1" x14ac:dyDescent="0.15">
      <c r="B391" s="33"/>
      <c r="E391" s="35"/>
      <c r="H391" s="33"/>
      <c r="N391" s="114"/>
      <c r="O391" s="34"/>
      <c r="P391" s="33"/>
      <c r="Q391" s="33"/>
      <c r="AA391" s="33"/>
      <c r="AB391" s="33"/>
      <c r="AC391" s="33"/>
      <c r="AD391" s="139"/>
      <c r="AE391" s="33"/>
      <c r="AL391" s="35"/>
      <c r="AV391" s="35"/>
      <c r="AW391" s="35"/>
      <c r="AX391" s="35"/>
      <c r="AY391" s="36"/>
      <c r="BF391" s="35"/>
      <c r="BG391" s="35"/>
      <c r="BO391" s="35"/>
      <c r="BP391" s="35"/>
      <c r="BW391" s="36"/>
      <c r="BX391" s="36"/>
      <c r="BY391" s="36"/>
      <c r="BZ391" s="36"/>
      <c r="CY391" s="33"/>
    </row>
    <row r="392" spans="2:103" s="32" customFormat="1" x14ac:dyDescent="0.15">
      <c r="B392" s="33"/>
      <c r="E392" s="35"/>
      <c r="H392" s="33"/>
      <c r="N392" s="114"/>
      <c r="O392" s="34"/>
      <c r="P392" s="33"/>
      <c r="Q392" s="33"/>
      <c r="AA392" s="33"/>
      <c r="AB392" s="33"/>
      <c r="AC392" s="33"/>
      <c r="AD392" s="139"/>
      <c r="AE392" s="33"/>
      <c r="AL392" s="35"/>
      <c r="AV392" s="35"/>
      <c r="AW392" s="35"/>
      <c r="AX392" s="35"/>
      <c r="AY392" s="36"/>
      <c r="BF392" s="35"/>
      <c r="BG392" s="35"/>
      <c r="BO392" s="35"/>
      <c r="BP392" s="35"/>
      <c r="BW392" s="36"/>
      <c r="BX392" s="36"/>
      <c r="BY392" s="36"/>
      <c r="BZ392" s="36"/>
      <c r="CY392" s="33"/>
    </row>
    <row r="393" spans="2:103" s="32" customFormat="1" x14ac:dyDescent="0.15">
      <c r="B393" s="33"/>
      <c r="E393" s="35"/>
      <c r="H393" s="33"/>
      <c r="N393" s="114"/>
      <c r="O393" s="34"/>
      <c r="P393" s="33"/>
      <c r="Q393" s="33"/>
      <c r="AA393" s="33"/>
      <c r="AB393" s="33"/>
      <c r="AC393" s="33"/>
      <c r="AD393" s="139"/>
      <c r="AE393" s="33"/>
      <c r="AL393" s="35"/>
      <c r="AV393" s="35"/>
      <c r="AW393" s="35"/>
      <c r="AX393" s="35"/>
      <c r="AY393" s="36"/>
      <c r="BF393" s="35"/>
      <c r="BG393" s="35"/>
      <c r="BO393" s="35"/>
      <c r="BP393" s="35"/>
      <c r="BW393" s="36"/>
      <c r="BX393" s="36"/>
      <c r="BY393" s="36"/>
      <c r="BZ393" s="36"/>
      <c r="CY393" s="33"/>
    </row>
    <row r="394" spans="2:103" s="32" customFormat="1" x14ac:dyDescent="0.15">
      <c r="B394" s="33"/>
      <c r="E394" s="35"/>
      <c r="H394" s="33"/>
      <c r="N394" s="114"/>
      <c r="O394" s="34"/>
      <c r="P394" s="33"/>
      <c r="Q394" s="33"/>
      <c r="AA394" s="33"/>
      <c r="AB394" s="33"/>
      <c r="AC394" s="33"/>
      <c r="AD394" s="139"/>
      <c r="AE394" s="33"/>
      <c r="AL394" s="35"/>
      <c r="AV394" s="35"/>
      <c r="AW394" s="35"/>
      <c r="AX394" s="35"/>
      <c r="AY394" s="36"/>
      <c r="BF394" s="35"/>
      <c r="BG394" s="35"/>
      <c r="BO394" s="35"/>
      <c r="BP394" s="35"/>
      <c r="BW394" s="36"/>
      <c r="BX394" s="36"/>
      <c r="BY394" s="36"/>
      <c r="BZ394" s="36"/>
      <c r="CY394" s="33"/>
    </row>
    <row r="395" spans="2:103" s="32" customFormat="1" x14ac:dyDescent="0.15">
      <c r="B395" s="33"/>
      <c r="E395" s="35"/>
      <c r="H395" s="33"/>
      <c r="N395" s="114"/>
      <c r="O395" s="34"/>
      <c r="P395" s="33"/>
      <c r="Q395" s="33"/>
      <c r="AA395" s="33"/>
      <c r="AB395" s="33"/>
      <c r="AC395" s="33"/>
      <c r="AD395" s="139"/>
      <c r="AE395" s="33"/>
      <c r="AL395" s="35"/>
      <c r="AV395" s="35"/>
      <c r="AW395" s="35"/>
      <c r="AX395" s="35"/>
      <c r="AY395" s="36"/>
      <c r="BF395" s="35"/>
      <c r="BG395" s="35"/>
      <c r="BO395" s="35"/>
      <c r="BP395" s="35"/>
      <c r="BW395" s="36"/>
      <c r="BX395" s="36"/>
      <c r="BY395" s="36"/>
      <c r="BZ395" s="36"/>
      <c r="CY395" s="33"/>
    </row>
    <row r="396" spans="2:103" s="32" customFormat="1" x14ac:dyDescent="0.15">
      <c r="B396" s="33"/>
      <c r="E396" s="35"/>
      <c r="H396" s="33"/>
      <c r="N396" s="114"/>
      <c r="O396" s="34"/>
      <c r="P396" s="33"/>
      <c r="Q396" s="33"/>
      <c r="AA396" s="33"/>
      <c r="AB396" s="33"/>
      <c r="AC396" s="33"/>
      <c r="AD396" s="139"/>
      <c r="AE396" s="33"/>
      <c r="AL396" s="35"/>
      <c r="AV396" s="35"/>
      <c r="AW396" s="35"/>
      <c r="AX396" s="35"/>
      <c r="AY396" s="36"/>
      <c r="BF396" s="35"/>
      <c r="BG396" s="35"/>
      <c r="BO396" s="35"/>
      <c r="BP396" s="35"/>
      <c r="BW396" s="36"/>
      <c r="BX396" s="36"/>
      <c r="BY396" s="36"/>
      <c r="BZ396" s="36"/>
      <c r="CY396" s="33"/>
    </row>
    <row r="397" spans="2:103" s="32" customFormat="1" x14ac:dyDescent="0.15">
      <c r="B397" s="33"/>
      <c r="E397" s="35"/>
      <c r="H397" s="33"/>
      <c r="N397" s="114"/>
      <c r="O397" s="34"/>
      <c r="P397" s="33"/>
      <c r="Q397" s="33"/>
      <c r="AA397" s="33"/>
      <c r="AB397" s="33"/>
      <c r="AC397" s="33"/>
      <c r="AD397" s="139"/>
      <c r="AE397" s="33"/>
      <c r="AL397" s="35"/>
      <c r="AV397" s="35"/>
      <c r="AW397" s="35"/>
      <c r="AX397" s="35"/>
      <c r="AY397" s="36"/>
      <c r="BF397" s="35"/>
      <c r="BG397" s="35"/>
      <c r="BO397" s="35"/>
      <c r="BP397" s="35"/>
      <c r="BW397" s="36"/>
      <c r="BX397" s="36"/>
      <c r="BY397" s="36"/>
      <c r="BZ397" s="36"/>
      <c r="CY397" s="33"/>
    </row>
    <row r="398" spans="2:103" s="32" customFormat="1" x14ac:dyDescent="0.15">
      <c r="B398" s="33"/>
      <c r="E398" s="35"/>
      <c r="H398" s="33"/>
      <c r="N398" s="114"/>
      <c r="O398" s="34"/>
      <c r="P398" s="33"/>
      <c r="Q398" s="33"/>
      <c r="AA398" s="33"/>
      <c r="AB398" s="33"/>
      <c r="AC398" s="33"/>
      <c r="AD398" s="139"/>
      <c r="AE398" s="33"/>
      <c r="AL398" s="35"/>
      <c r="AV398" s="35"/>
      <c r="AW398" s="35"/>
      <c r="AX398" s="35"/>
      <c r="AY398" s="36"/>
      <c r="BF398" s="35"/>
      <c r="BG398" s="35"/>
      <c r="BO398" s="35"/>
      <c r="BP398" s="35"/>
      <c r="BW398" s="36"/>
      <c r="BX398" s="36"/>
      <c r="BY398" s="36"/>
      <c r="BZ398" s="36"/>
      <c r="CY398" s="33"/>
    </row>
    <row r="399" spans="2:103" s="32" customFormat="1" x14ac:dyDescent="0.15">
      <c r="B399" s="33"/>
      <c r="E399" s="35"/>
      <c r="H399" s="33"/>
      <c r="N399" s="114"/>
      <c r="O399" s="34"/>
      <c r="P399" s="33"/>
      <c r="Q399" s="33"/>
      <c r="AA399" s="33"/>
      <c r="AB399" s="33"/>
      <c r="AC399" s="33"/>
      <c r="AD399" s="139"/>
      <c r="AE399" s="33"/>
      <c r="AL399" s="35"/>
      <c r="AV399" s="35"/>
      <c r="AW399" s="35"/>
      <c r="AX399" s="35"/>
      <c r="AY399" s="36"/>
      <c r="BF399" s="35"/>
      <c r="BG399" s="35"/>
      <c r="BO399" s="35"/>
      <c r="BP399" s="35"/>
      <c r="BW399" s="36"/>
      <c r="BX399" s="36"/>
      <c r="BY399" s="36"/>
      <c r="BZ399" s="36"/>
      <c r="CY399" s="33"/>
    </row>
    <row r="400" spans="2:103" s="32" customFormat="1" x14ac:dyDescent="0.15">
      <c r="B400" s="33"/>
      <c r="E400" s="35"/>
      <c r="H400" s="33"/>
      <c r="N400" s="114"/>
      <c r="O400" s="34"/>
      <c r="P400" s="33"/>
      <c r="Q400" s="33"/>
      <c r="AA400" s="33"/>
      <c r="AB400" s="33"/>
      <c r="AC400" s="33"/>
      <c r="AD400" s="139"/>
      <c r="AE400" s="33"/>
      <c r="AL400" s="35"/>
      <c r="AV400" s="35"/>
      <c r="AW400" s="35"/>
      <c r="AX400" s="35"/>
      <c r="AY400" s="36"/>
      <c r="BF400" s="35"/>
      <c r="BG400" s="35"/>
      <c r="BO400" s="35"/>
      <c r="BP400" s="35"/>
      <c r="BW400" s="36"/>
      <c r="BX400" s="36"/>
      <c r="BY400" s="36"/>
      <c r="BZ400" s="36"/>
      <c r="CY400" s="33"/>
    </row>
    <row r="401" spans="2:103" s="32" customFormat="1" x14ac:dyDescent="0.15">
      <c r="B401" s="33"/>
      <c r="E401" s="35"/>
      <c r="H401" s="33"/>
      <c r="N401" s="114"/>
      <c r="O401" s="34"/>
      <c r="P401" s="33"/>
      <c r="Q401" s="33"/>
      <c r="AA401" s="33"/>
      <c r="AB401" s="33"/>
      <c r="AC401" s="33"/>
      <c r="AD401" s="139"/>
      <c r="AE401" s="33"/>
      <c r="AL401" s="35"/>
      <c r="AV401" s="35"/>
      <c r="AW401" s="35"/>
      <c r="AX401" s="35"/>
      <c r="AY401" s="36"/>
      <c r="BF401" s="35"/>
      <c r="BG401" s="35"/>
      <c r="BO401" s="35"/>
      <c r="BP401" s="35"/>
      <c r="BW401" s="36"/>
      <c r="BX401" s="36"/>
      <c r="BY401" s="36"/>
      <c r="BZ401" s="36"/>
      <c r="CY401" s="33"/>
    </row>
    <row r="402" spans="2:103" s="32" customFormat="1" x14ac:dyDescent="0.15">
      <c r="B402" s="33"/>
      <c r="E402" s="35"/>
      <c r="H402" s="33"/>
      <c r="N402" s="114"/>
      <c r="O402" s="34"/>
      <c r="P402" s="33"/>
      <c r="Q402" s="33"/>
      <c r="AA402" s="33"/>
      <c r="AB402" s="33"/>
      <c r="AC402" s="33"/>
      <c r="AD402" s="139"/>
      <c r="AE402" s="33"/>
      <c r="AL402" s="35"/>
      <c r="AV402" s="35"/>
      <c r="AW402" s="35"/>
      <c r="AX402" s="35"/>
      <c r="AY402" s="36"/>
      <c r="BF402" s="35"/>
      <c r="BG402" s="35"/>
      <c r="BO402" s="35"/>
      <c r="BP402" s="35"/>
      <c r="BW402" s="36"/>
      <c r="BX402" s="36"/>
      <c r="BY402" s="36"/>
      <c r="BZ402" s="36"/>
      <c r="CY402" s="33"/>
    </row>
    <row r="403" spans="2:103" s="32" customFormat="1" x14ac:dyDescent="0.15">
      <c r="B403" s="33"/>
      <c r="E403" s="35"/>
      <c r="H403" s="33"/>
      <c r="N403" s="114"/>
      <c r="O403" s="34"/>
      <c r="P403" s="33"/>
      <c r="Q403" s="33"/>
      <c r="AA403" s="33"/>
      <c r="AB403" s="33"/>
      <c r="AC403" s="33"/>
      <c r="AD403" s="139"/>
      <c r="AE403" s="33"/>
      <c r="AL403" s="35"/>
      <c r="AV403" s="35"/>
      <c r="AW403" s="35"/>
      <c r="AX403" s="35"/>
      <c r="AY403" s="36"/>
      <c r="BF403" s="35"/>
      <c r="BG403" s="35"/>
      <c r="BO403" s="35"/>
      <c r="BP403" s="35"/>
      <c r="BW403" s="36"/>
      <c r="BX403" s="36"/>
      <c r="BY403" s="36"/>
      <c r="BZ403" s="36"/>
      <c r="CY403" s="33"/>
    </row>
    <row r="404" spans="2:103" s="32" customFormat="1" x14ac:dyDescent="0.15">
      <c r="B404" s="33"/>
      <c r="E404" s="35"/>
      <c r="H404" s="33"/>
      <c r="N404" s="114"/>
      <c r="O404" s="34"/>
      <c r="P404" s="33"/>
      <c r="Q404" s="33"/>
      <c r="AA404" s="33"/>
      <c r="AB404" s="33"/>
      <c r="AC404" s="33"/>
      <c r="AD404" s="139"/>
      <c r="AE404" s="33"/>
      <c r="AL404" s="35"/>
      <c r="AV404" s="35"/>
      <c r="AW404" s="35"/>
      <c r="AX404" s="35"/>
      <c r="AY404" s="36"/>
      <c r="BF404" s="35"/>
      <c r="BG404" s="35"/>
      <c r="BO404" s="35"/>
      <c r="BP404" s="35"/>
      <c r="BW404" s="36"/>
      <c r="BX404" s="36"/>
      <c r="BY404" s="36"/>
      <c r="BZ404" s="36"/>
      <c r="CY404" s="33"/>
    </row>
    <row r="405" spans="2:103" s="32" customFormat="1" x14ac:dyDescent="0.15">
      <c r="B405" s="33"/>
      <c r="E405" s="35"/>
      <c r="H405" s="33"/>
      <c r="N405" s="114"/>
      <c r="O405" s="34"/>
      <c r="P405" s="33"/>
      <c r="Q405" s="33"/>
      <c r="AA405" s="33"/>
      <c r="AB405" s="33"/>
      <c r="AC405" s="33"/>
      <c r="AD405" s="139"/>
      <c r="AE405" s="33"/>
      <c r="AL405" s="35"/>
      <c r="AV405" s="35"/>
      <c r="AW405" s="35"/>
      <c r="AX405" s="35"/>
      <c r="AY405" s="36"/>
      <c r="BF405" s="35"/>
      <c r="BG405" s="35"/>
      <c r="BO405" s="35"/>
      <c r="BP405" s="35"/>
      <c r="BW405" s="36"/>
      <c r="BX405" s="36"/>
      <c r="BY405" s="36"/>
      <c r="BZ405" s="36"/>
      <c r="CY405" s="33"/>
    </row>
    <row r="406" spans="2:103" s="32" customFormat="1" x14ac:dyDescent="0.15">
      <c r="B406" s="33"/>
      <c r="E406" s="35"/>
      <c r="H406" s="33"/>
      <c r="N406" s="114"/>
      <c r="O406" s="34"/>
      <c r="P406" s="33"/>
      <c r="Q406" s="33"/>
      <c r="AA406" s="33"/>
      <c r="AB406" s="33"/>
      <c r="AC406" s="33"/>
      <c r="AD406" s="139"/>
      <c r="AE406" s="33"/>
      <c r="AL406" s="35"/>
      <c r="AV406" s="35"/>
      <c r="AW406" s="35"/>
      <c r="AX406" s="35"/>
      <c r="AY406" s="36"/>
      <c r="BF406" s="35"/>
      <c r="BG406" s="35"/>
      <c r="BO406" s="35"/>
      <c r="BP406" s="35"/>
      <c r="BW406" s="36"/>
      <c r="BX406" s="36"/>
      <c r="BY406" s="36"/>
      <c r="BZ406" s="36"/>
      <c r="CY406" s="33"/>
    </row>
    <row r="407" spans="2:103" s="32" customFormat="1" x14ac:dyDescent="0.15">
      <c r="B407" s="33"/>
      <c r="E407" s="35"/>
      <c r="H407" s="33"/>
      <c r="N407" s="114"/>
      <c r="O407" s="34"/>
      <c r="P407" s="33"/>
      <c r="Q407" s="33"/>
      <c r="AA407" s="33"/>
      <c r="AB407" s="33"/>
      <c r="AC407" s="33"/>
      <c r="AD407" s="139"/>
      <c r="AE407" s="33"/>
      <c r="AL407" s="35"/>
      <c r="AV407" s="35"/>
      <c r="AW407" s="35"/>
      <c r="AX407" s="35"/>
      <c r="AY407" s="36"/>
      <c r="BF407" s="35"/>
      <c r="BG407" s="35"/>
      <c r="BO407" s="35"/>
      <c r="BP407" s="35"/>
      <c r="BW407" s="36"/>
      <c r="BX407" s="36"/>
      <c r="BY407" s="36"/>
      <c r="BZ407" s="36"/>
      <c r="CY407" s="33"/>
    </row>
    <row r="408" spans="2:103" s="32" customFormat="1" x14ac:dyDescent="0.15">
      <c r="B408" s="33"/>
      <c r="E408" s="35"/>
      <c r="H408" s="33"/>
      <c r="N408" s="114"/>
      <c r="O408" s="34"/>
      <c r="P408" s="33"/>
      <c r="Q408" s="33"/>
      <c r="AA408" s="33"/>
      <c r="AB408" s="33"/>
      <c r="AC408" s="33"/>
      <c r="AD408" s="139"/>
      <c r="AE408" s="33"/>
      <c r="AL408" s="35"/>
      <c r="AV408" s="35"/>
      <c r="AW408" s="35"/>
      <c r="AX408" s="35"/>
      <c r="AY408" s="36"/>
      <c r="BF408" s="35"/>
      <c r="BG408" s="35"/>
      <c r="BO408" s="35"/>
      <c r="BP408" s="35"/>
      <c r="BW408" s="36"/>
      <c r="BX408" s="36"/>
      <c r="BY408" s="36"/>
      <c r="BZ408" s="36"/>
      <c r="CY408" s="33"/>
    </row>
    <row r="409" spans="2:103" s="32" customFormat="1" x14ac:dyDescent="0.15">
      <c r="B409" s="33"/>
      <c r="E409" s="35"/>
      <c r="H409" s="33"/>
      <c r="N409" s="114"/>
      <c r="O409" s="34"/>
      <c r="P409" s="33"/>
      <c r="Q409" s="33"/>
      <c r="AA409" s="33"/>
      <c r="AB409" s="33"/>
      <c r="AC409" s="33"/>
      <c r="AD409" s="139"/>
      <c r="AE409" s="33"/>
      <c r="AL409" s="35"/>
      <c r="AV409" s="35"/>
      <c r="AW409" s="35"/>
      <c r="AX409" s="35"/>
      <c r="AY409" s="36"/>
      <c r="BF409" s="35"/>
      <c r="BG409" s="35"/>
      <c r="BO409" s="35"/>
      <c r="BP409" s="35"/>
      <c r="BW409" s="36"/>
      <c r="BX409" s="36"/>
      <c r="BY409" s="36"/>
      <c r="BZ409" s="36"/>
      <c r="CY409" s="33"/>
    </row>
    <row r="410" spans="2:103" s="32" customFormat="1" x14ac:dyDescent="0.15">
      <c r="B410" s="33"/>
      <c r="E410" s="35"/>
      <c r="H410" s="33"/>
      <c r="N410" s="114"/>
      <c r="O410" s="34"/>
      <c r="P410" s="33"/>
      <c r="Q410" s="33"/>
      <c r="AA410" s="33"/>
      <c r="AB410" s="33"/>
      <c r="AC410" s="33"/>
      <c r="AD410" s="139"/>
      <c r="AE410" s="33"/>
      <c r="AL410" s="35"/>
      <c r="AV410" s="35"/>
      <c r="AW410" s="35"/>
      <c r="AX410" s="35"/>
      <c r="AY410" s="36"/>
      <c r="BF410" s="35"/>
      <c r="BG410" s="35"/>
      <c r="BO410" s="35"/>
      <c r="BP410" s="35"/>
      <c r="BW410" s="36"/>
      <c r="BX410" s="36"/>
      <c r="BY410" s="36"/>
      <c r="BZ410" s="36"/>
      <c r="CY410" s="33"/>
    </row>
    <row r="411" spans="2:103" s="32" customFormat="1" x14ac:dyDescent="0.15">
      <c r="B411" s="33"/>
      <c r="E411" s="35"/>
      <c r="H411" s="33"/>
      <c r="N411" s="114"/>
      <c r="O411" s="34"/>
      <c r="P411" s="33"/>
      <c r="Q411" s="33"/>
      <c r="AA411" s="33"/>
      <c r="AB411" s="33"/>
      <c r="AC411" s="33"/>
      <c r="AD411" s="139"/>
      <c r="AE411" s="33"/>
      <c r="AL411" s="35"/>
      <c r="AV411" s="35"/>
      <c r="AW411" s="35"/>
      <c r="AX411" s="35"/>
      <c r="AY411" s="36"/>
      <c r="BF411" s="35"/>
      <c r="BG411" s="35"/>
      <c r="BO411" s="35"/>
      <c r="BP411" s="35"/>
      <c r="BW411" s="36"/>
      <c r="BX411" s="36"/>
      <c r="BY411" s="36"/>
      <c r="BZ411" s="36"/>
      <c r="CY411" s="33"/>
    </row>
    <row r="412" spans="2:103" s="32" customFormat="1" x14ac:dyDescent="0.15">
      <c r="B412" s="33"/>
      <c r="E412" s="35"/>
      <c r="H412" s="33"/>
      <c r="N412" s="114"/>
      <c r="O412" s="34"/>
      <c r="P412" s="33"/>
      <c r="Q412" s="33"/>
      <c r="AA412" s="33"/>
      <c r="AB412" s="33"/>
      <c r="AC412" s="33"/>
      <c r="AD412" s="139"/>
      <c r="AE412" s="33"/>
      <c r="AL412" s="35"/>
      <c r="AV412" s="35"/>
      <c r="AW412" s="35"/>
      <c r="AX412" s="35"/>
      <c r="AY412" s="36"/>
      <c r="BF412" s="35"/>
      <c r="BG412" s="35"/>
      <c r="BO412" s="35"/>
      <c r="BP412" s="35"/>
      <c r="BW412" s="36"/>
      <c r="BX412" s="36"/>
      <c r="BY412" s="36"/>
      <c r="BZ412" s="36"/>
      <c r="CY412" s="33"/>
    </row>
    <row r="413" spans="2:103" s="32" customFormat="1" x14ac:dyDescent="0.15">
      <c r="B413" s="33"/>
      <c r="E413" s="35"/>
      <c r="H413" s="33"/>
      <c r="N413" s="114"/>
      <c r="O413" s="34"/>
      <c r="P413" s="33"/>
      <c r="Q413" s="33"/>
      <c r="AA413" s="33"/>
      <c r="AB413" s="33"/>
      <c r="AC413" s="33"/>
      <c r="AD413" s="139"/>
      <c r="AE413" s="33"/>
      <c r="AL413" s="35"/>
      <c r="AV413" s="35"/>
      <c r="AW413" s="35"/>
      <c r="AX413" s="35"/>
      <c r="AY413" s="36"/>
      <c r="BF413" s="35"/>
      <c r="BG413" s="35"/>
      <c r="BO413" s="35"/>
      <c r="BP413" s="35"/>
      <c r="BW413" s="36"/>
      <c r="BX413" s="36"/>
      <c r="BY413" s="36"/>
      <c r="BZ413" s="36"/>
      <c r="CY413" s="33"/>
    </row>
    <row r="414" spans="2:103" s="32" customFormat="1" x14ac:dyDescent="0.15">
      <c r="B414" s="33"/>
      <c r="E414" s="35"/>
      <c r="H414" s="33"/>
      <c r="N414" s="114"/>
      <c r="O414" s="34"/>
      <c r="P414" s="33"/>
      <c r="Q414" s="33"/>
      <c r="AA414" s="33"/>
      <c r="AB414" s="33"/>
      <c r="AC414" s="33"/>
      <c r="AD414" s="139"/>
      <c r="AE414" s="33"/>
      <c r="AL414" s="35"/>
      <c r="AV414" s="35"/>
      <c r="AW414" s="35"/>
      <c r="AX414" s="35"/>
      <c r="AY414" s="36"/>
      <c r="BF414" s="35"/>
      <c r="BG414" s="35"/>
      <c r="BO414" s="35"/>
      <c r="BP414" s="35"/>
      <c r="BW414" s="36"/>
      <c r="BX414" s="36"/>
      <c r="BY414" s="36"/>
      <c r="BZ414" s="36"/>
      <c r="CY414" s="33"/>
    </row>
    <row r="415" spans="2:103" s="32" customFormat="1" x14ac:dyDescent="0.15">
      <c r="B415" s="33"/>
      <c r="E415" s="35"/>
      <c r="H415" s="33"/>
      <c r="N415" s="114"/>
      <c r="O415" s="34"/>
      <c r="P415" s="33"/>
      <c r="Q415" s="33"/>
      <c r="AA415" s="33"/>
      <c r="AB415" s="33"/>
      <c r="AC415" s="33"/>
      <c r="AD415" s="139"/>
      <c r="AE415" s="33"/>
      <c r="AL415" s="35"/>
      <c r="AV415" s="35"/>
      <c r="AW415" s="35"/>
      <c r="AX415" s="35"/>
      <c r="AY415" s="36"/>
      <c r="BF415" s="35"/>
      <c r="BG415" s="35"/>
      <c r="BO415" s="35"/>
      <c r="BP415" s="35"/>
      <c r="BW415" s="36"/>
      <c r="BX415" s="36"/>
      <c r="BY415" s="36"/>
      <c r="BZ415" s="36"/>
      <c r="CY415" s="33"/>
    </row>
    <row r="416" spans="2:103" s="32" customFormat="1" x14ac:dyDescent="0.15">
      <c r="B416" s="33"/>
      <c r="E416" s="35"/>
      <c r="H416" s="33"/>
      <c r="N416" s="114"/>
      <c r="O416" s="34"/>
      <c r="P416" s="33"/>
      <c r="Q416" s="33"/>
      <c r="AA416" s="33"/>
      <c r="AB416" s="33"/>
      <c r="AC416" s="33"/>
      <c r="AD416" s="139"/>
      <c r="AE416" s="33"/>
      <c r="AL416" s="35"/>
      <c r="AV416" s="35"/>
      <c r="AW416" s="35"/>
      <c r="AX416" s="35"/>
      <c r="AY416" s="36"/>
      <c r="BF416" s="35"/>
      <c r="BG416" s="35"/>
      <c r="BO416" s="35"/>
      <c r="BP416" s="35"/>
      <c r="BW416" s="36"/>
      <c r="BX416" s="36"/>
      <c r="BY416" s="36"/>
      <c r="BZ416" s="36"/>
      <c r="CY416" s="33"/>
    </row>
    <row r="417" spans="2:103" s="32" customFormat="1" x14ac:dyDescent="0.15">
      <c r="B417" s="33"/>
      <c r="E417" s="35"/>
      <c r="H417" s="33"/>
      <c r="N417" s="114"/>
      <c r="O417" s="34"/>
      <c r="P417" s="33"/>
      <c r="Q417" s="33"/>
      <c r="AA417" s="33"/>
      <c r="AB417" s="33"/>
      <c r="AC417" s="33"/>
      <c r="AD417" s="139"/>
      <c r="AE417" s="33"/>
      <c r="AL417" s="35"/>
      <c r="AV417" s="35"/>
      <c r="AW417" s="35"/>
      <c r="AX417" s="35"/>
      <c r="AY417" s="36"/>
      <c r="BF417" s="35"/>
      <c r="BG417" s="35"/>
      <c r="BO417" s="35"/>
      <c r="BP417" s="35"/>
      <c r="BW417" s="36"/>
      <c r="BX417" s="36"/>
      <c r="BY417" s="36"/>
      <c r="BZ417" s="36"/>
      <c r="CY417" s="33"/>
    </row>
    <row r="418" spans="2:103" s="32" customFormat="1" x14ac:dyDescent="0.15">
      <c r="B418" s="33"/>
      <c r="E418" s="35"/>
      <c r="H418" s="33"/>
      <c r="N418" s="114"/>
      <c r="O418" s="34"/>
      <c r="P418" s="33"/>
      <c r="Q418" s="33"/>
      <c r="AA418" s="33"/>
      <c r="AB418" s="33"/>
      <c r="AC418" s="33"/>
      <c r="AD418" s="139"/>
      <c r="AE418" s="33"/>
      <c r="AL418" s="35"/>
      <c r="AV418" s="35"/>
      <c r="AW418" s="35"/>
      <c r="AX418" s="35"/>
      <c r="AY418" s="36"/>
      <c r="BF418" s="35"/>
      <c r="BG418" s="35"/>
      <c r="BO418" s="35"/>
      <c r="BP418" s="35"/>
      <c r="BW418" s="36"/>
      <c r="BX418" s="36"/>
      <c r="BY418" s="36"/>
      <c r="BZ418" s="36"/>
      <c r="CY418" s="33"/>
    </row>
    <row r="419" spans="2:103" s="32" customFormat="1" x14ac:dyDescent="0.15">
      <c r="B419" s="33"/>
      <c r="E419" s="35"/>
      <c r="H419" s="33"/>
      <c r="N419" s="114"/>
      <c r="O419" s="34"/>
      <c r="P419" s="33"/>
      <c r="Q419" s="33"/>
      <c r="AA419" s="33"/>
      <c r="AB419" s="33"/>
      <c r="AC419" s="33"/>
      <c r="AD419" s="139"/>
      <c r="AE419" s="33"/>
      <c r="AL419" s="35"/>
      <c r="AV419" s="35"/>
      <c r="AW419" s="35"/>
      <c r="AX419" s="35"/>
      <c r="AY419" s="36"/>
      <c r="BF419" s="35"/>
      <c r="BG419" s="35"/>
      <c r="BO419" s="35"/>
      <c r="BP419" s="35"/>
      <c r="BW419" s="36"/>
      <c r="BX419" s="36"/>
      <c r="BY419" s="36"/>
      <c r="BZ419" s="36"/>
      <c r="CY419" s="33"/>
    </row>
    <row r="420" spans="2:103" s="32" customFormat="1" x14ac:dyDescent="0.15">
      <c r="B420" s="33"/>
      <c r="E420" s="35"/>
      <c r="H420" s="33"/>
      <c r="N420" s="114"/>
      <c r="O420" s="34"/>
      <c r="P420" s="33"/>
      <c r="Q420" s="33"/>
      <c r="AA420" s="33"/>
      <c r="AB420" s="33"/>
      <c r="AC420" s="33"/>
      <c r="AD420" s="139"/>
      <c r="AE420" s="33"/>
      <c r="AL420" s="35"/>
      <c r="AV420" s="35"/>
      <c r="AW420" s="35"/>
      <c r="AX420" s="35"/>
      <c r="AY420" s="36"/>
      <c r="BF420" s="35"/>
      <c r="BG420" s="35"/>
      <c r="BO420" s="35"/>
      <c r="BP420" s="35"/>
      <c r="BW420" s="36"/>
      <c r="BX420" s="36"/>
      <c r="BY420" s="36"/>
      <c r="BZ420" s="36"/>
      <c r="CY420" s="33"/>
    </row>
    <row r="421" spans="2:103" s="32" customFormat="1" x14ac:dyDescent="0.15">
      <c r="B421" s="33"/>
      <c r="E421" s="35"/>
      <c r="H421" s="33"/>
      <c r="N421" s="114"/>
      <c r="O421" s="34"/>
      <c r="P421" s="33"/>
      <c r="Q421" s="33"/>
      <c r="AA421" s="33"/>
      <c r="AB421" s="33"/>
      <c r="AC421" s="33"/>
      <c r="AD421" s="139"/>
      <c r="AE421" s="33"/>
      <c r="AL421" s="35"/>
      <c r="AV421" s="35"/>
      <c r="AW421" s="35"/>
      <c r="AX421" s="35"/>
      <c r="AY421" s="36"/>
      <c r="BF421" s="35"/>
      <c r="BG421" s="35"/>
      <c r="BO421" s="35"/>
      <c r="BP421" s="35"/>
      <c r="BW421" s="36"/>
      <c r="BX421" s="36"/>
      <c r="BY421" s="36"/>
      <c r="BZ421" s="36"/>
      <c r="CY421" s="33"/>
    </row>
    <row r="422" spans="2:103" s="32" customFormat="1" x14ac:dyDescent="0.15">
      <c r="B422" s="33"/>
      <c r="E422" s="35"/>
      <c r="H422" s="33"/>
      <c r="N422" s="114"/>
      <c r="O422" s="34"/>
      <c r="P422" s="33"/>
      <c r="Q422" s="33"/>
      <c r="AA422" s="33"/>
      <c r="AB422" s="33"/>
      <c r="AC422" s="33"/>
      <c r="AD422" s="139"/>
      <c r="AE422" s="33"/>
      <c r="AL422" s="35"/>
      <c r="AV422" s="35"/>
      <c r="AW422" s="35"/>
      <c r="AX422" s="35"/>
      <c r="AY422" s="36"/>
      <c r="BF422" s="35"/>
      <c r="BG422" s="35"/>
      <c r="BO422" s="35"/>
      <c r="BP422" s="35"/>
      <c r="BW422" s="36"/>
      <c r="BX422" s="36"/>
      <c r="BY422" s="36"/>
      <c r="BZ422" s="36"/>
      <c r="CY422" s="33"/>
    </row>
    <row r="423" spans="2:103" s="32" customFormat="1" x14ac:dyDescent="0.15">
      <c r="B423" s="33"/>
      <c r="E423" s="35"/>
      <c r="H423" s="33"/>
      <c r="N423" s="114"/>
      <c r="O423" s="34"/>
      <c r="P423" s="33"/>
      <c r="Q423" s="33"/>
      <c r="AA423" s="33"/>
      <c r="AB423" s="33"/>
      <c r="AC423" s="33"/>
      <c r="AD423" s="139"/>
      <c r="AE423" s="33"/>
      <c r="AL423" s="35"/>
      <c r="AV423" s="35"/>
      <c r="AW423" s="35"/>
      <c r="AX423" s="35"/>
      <c r="AY423" s="36"/>
      <c r="BF423" s="35"/>
      <c r="BG423" s="35"/>
      <c r="BO423" s="35"/>
      <c r="BP423" s="35"/>
      <c r="BW423" s="36"/>
      <c r="BX423" s="36"/>
      <c r="BY423" s="36"/>
      <c r="BZ423" s="36"/>
      <c r="CY423" s="33"/>
    </row>
    <row r="424" spans="2:103" s="32" customFormat="1" x14ac:dyDescent="0.15">
      <c r="B424" s="33"/>
      <c r="E424" s="35"/>
      <c r="H424" s="33"/>
      <c r="N424" s="114"/>
      <c r="O424" s="34"/>
      <c r="P424" s="33"/>
      <c r="Q424" s="33"/>
      <c r="AA424" s="33"/>
      <c r="AB424" s="33"/>
      <c r="AC424" s="33"/>
      <c r="AD424" s="139"/>
      <c r="AE424" s="33"/>
      <c r="AL424" s="35"/>
      <c r="AV424" s="35"/>
      <c r="AW424" s="35"/>
      <c r="AX424" s="35"/>
      <c r="AY424" s="36"/>
      <c r="BF424" s="35"/>
      <c r="BG424" s="35"/>
      <c r="BO424" s="35"/>
      <c r="BP424" s="35"/>
      <c r="BW424" s="36"/>
      <c r="BX424" s="36"/>
      <c r="BY424" s="36"/>
      <c r="BZ424" s="36"/>
      <c r="CY424" s="33"/>
    </row>
    <row r="425" spans="2:103" s="32" customFormat="1" x14ac:dyDescent="0.15">
      <c r="B425" s="33"/>
      <c r="E425" s="35"/>
      <c r="H425" s="33"/>
      <c r="N425" s="114"/>
      <c r="O425" s="34"/>
      <c r="P425" s="33"/>
      <c r="Q425" s="33"/>
      <c r="AA425" s="33"/>
      <c r="AB425" s="33"/>
      <c r="AC425" s="33"/>
      <c r="AD425" s="139"/>
      <c r="AE425" s="33"/>
      <c r="AL425" s="35"/>
      <c r="AV425" s="35"/>
      <c r="AW425" s="35"/>
      <c r="AX425" s="35"/>
      <c r="AY425" s="36"/>
      <c r="BF425" s="35"/>
      <c r="BG425" s="35"/>
      <c r="BO425" s="35"/>
      <c r="BP425" s="35"/>
      <c r="BW425" s="36"/>
      <c r="BX425" s="36"/>
      <c r="BY425" s="36"/>
      <c r="BZ425" s="36"/>
      <c r="CY425" s="33"/>
    </row>
    <row r="426" spans="2:103" s="32" customFormat="1" x14ac:dyDescent="0.15">
      <c r="B426" s="33"/>
      <c r="E426" s="35"/>
      <c r="H426" s="33"/>
      <c r="N426" s="114"/>
      <c r="O426" s="34"/>
      <c r="P426" s="33"/>
      <c r="Q426" s="33"/>
      <c r="AA426" s="33"/>
      <c r="AB426" s="33"/>
      <c r="AC426" s="33"/>
      <c r="AD426" s="139"/>
      <c r="AE426" s="33"/>
      <c r="AL426" s="35"/>
      <c r="AV426" s="35"/>
      <c r="AW426" s="35"/>
      <c r="AX426" s="35"/>
      <c r="AY426" s="36"/>
      <c r="BF426" s="35"/>
      <c r="BG426" s="35"/>
      <c r="BO426" s="35"/>
      <c r="BP426" s="35"/>
      <c r="BW426" s="36"/>
      <c r="BX426" s="36"/>
      <c r="BY426" s="36"/>
      <c r="BZ426" s="36"/>
      <c r="CY426" s="33"/>
    </row>
    <row r="427" spans="2:103" s="32" customFormat="1" x14ac:dyDescent="0.15">
      <c r="B427" s="33"/>
      <c r="E427" s="35"/>
      <c r="H427" s="33"/>
      <c r="N427" s="114"/>
      <c r="O427" s="34"/>
      <c r="P427" s="33"/>
      <c r="Q427" s="33"/>
      <c r="AA427" s="33"/>
      <c r="AB427" s="33"/>
      <c r="AC427" s="33"/>
      <c r="AD427" s="139"/>
      <c r="AE427" s="33"/>
      <c r="AL427" s="35"/>
      <c r="AV427" s="35"/>
      <c r="AW427" s="35"/>
      <c r="AX427" s="35"/>
      <c r="AY427" s="36"/>
      <c r="BF427" s="35"/>
      <c r="BG427" s="35"/>
      <c r="BO427" s="35"/>
      <c r="BP427" s="35"/>
      <c r="BW427" s="36"/>
      <c r="BX427" s="36"/>
      <c r="BY427" s="36"/>
      <c r="BZ427" s="36"/>
      <c r="CY427" s="33"/>
    </row>
    <row r="428" spans="2:103" s="32" customFormat="1" x14ac:dyDescent="0.15">
      <c r="B428" s="33"/>
      <c r="E428" s="35"/>
      <c r="H428" s="33"/>
      <c r="N428" s="114"/>
      <c r="O428" s="34"/>
      <c r="P428" s="33"/>
      <c r="Q428" s="33"/>
      <c r="AA428" s="33"/>
      <c r="AB428" s="33"/>
      <c r="AC428" s="33"/>
      <c r="AD428" s="139"/>
      <c r="AE428" s="33"/>
      <c r="AL428" s="35"/>
      <c r="AV428" s="35"/>
      <c r="AW428" s="35"/>
      <c r="AX428" s="35"/>
      <c r="AY428" s="36"/>
      <c r="BF428" s="35"/>
      <c r="BG428" s="35"/>
      <c r="BO428" s="35"/>
      <c r="BP428" s="35"/>
      <c r="BW428" s="36"/>
      <c r="BX428" s="36"/>
      <c r="BY428" s="36"/>
      <c r="BZ428" s="36"/>
      <c r="CY428" s="33"/>
    </row>
    <row r="429" spans="2:103" s="32" customFormat="1" x14ac:dyDescent="0.15">
      <c r="B429" s="33"/>
      <c r="E429" s="35"/>
      <c r="H429" s="33"/>
      <c r="N429" s="114"/>
      <c r="O429" s="34"/>
      <c r="P429" s="33"/>
      <c r="Q429" s="33"/>
      <c r="AA429" s="33"/>
      <c r="AB429" s="33"/>
      <c r="AC429" s="33"/>
      <c r="AD429" s="139"/>
      <c r="AE429" s="33"/>
      <c r="AL429" s="35"/>
      <c r="AV429" s="35"/>
      <c r="AW429" s="35"/>
      <c r="AX429" s="35"/>
      <c r="AY429" s="36"/>
      <c r="BF429" s="35"/>
      <c r="BG429" s="35"/>
      <c r="BO429" s="35"/>
      <c r="BP429" s="35"/>
      <c r="BW429" s="36"/>
      <c r="BX429" s="36"/>
      <c r="BY429" s="36"/>
      <c r="BZ429" s="36"/>
      <c r="CY429" s="33"/>
    </row>
    <row r="430" spans="2:103" s="32" customFormat="1" x14ac:dyDescent="0.15">
      <c r="B430" s="33"/>
      <c r="E430" s="35"/>
      <c r="H430" s="33"/>
      <c r="N430" s="114"/>
      <c r="O430" s="34"/>
      <c r="P430" s="33"/>
      <c r="Q430" s="33"/>
      <c r="AA430" s="33"/>
      <c r="AB430" s="33"/>
      <c r="AC430" s="33"/>
      <c r="AD430" s="139"/>
      <c r="AE430" s="33"/>
      <c r="AL430" s="35"/>
      <c r="AV430" s="35"/>
      <c r="AW430" s="35"/>
      <c r="AX430" s="35"/>
      <c r="AY430" s="36"/>
      <c r="BF430" s="35"/>
      <c r="BG430" s="35"/>
      <c r="BO430" s="35"/>
      <c r="BP430" s="35"/>
      <c r="BW430" s="36"/>
      <c r="BX430" s="36"/>
      <c r="BY430" s="36"/>
      <c r="BZ430" s="36"/>
      <c r="CY430" s="33"/>
    </row>
    <row r="431" spans="2:103" s="32" customFormat="1" x14ac:dyDescent="0.15">
      <c r="B431" s="33"/>
      <c r="E431" s="35"/>
      <c r="H431" s="33"/>
      <c r="N431" s="114"/>
      <c r="O431" s="34"/>
      <c r="P431" s="33"/>
      <c r="Q431" s="33"/>
      <c r="AA431" s="33"/>
      <c r="AB431" s="33"/>
      <c r="AC431" s="33"/>
      <c r="AD431" s="139"/>
      <c r="AE431" s="33"/>
      <c r="AL431" s="35"/>
      <c r="AV431" s="35"/>
      <c r="AW431" s="35"/>
      <c r="AX431" s="35"/>
      <c r="AY431" s="36"/>
      <c r="BF431" s="35"/>
      <c r="BG431" s="35"/>
      <c r="BO431" s="35"/>
      <c r="BP431" s="35"/>
      <c r="BW431" s="36"/>
      <c r="BX431" s="36"/>
      <c r="BY431" s="36"/>
      <c r="BZ431" s="36"/>
      <c r="CY431" s="33"/>
    </row>
    <row r="432" spans="2:103" s="32" customFormat="1" x14ac:dyDescent="0.15">
      <c r="B432" s="33"/>
      <c r="E432" s="35"/>
      <c r="H432" s="33"/>
      <c r="N432" s="114"/>
      <c r="O432" s="34"/>
      <c r="P432" s="33"/>
      <c r="Q432" s="33"/>
      <c r="AA432" s="33"/>
      <c r="AB432" s="33"/>
      <c r="AC432" s="33"/>
      <c r="AD432" s="139"/>
      <c r="AE432" s="33"/>
      <c r="AL432" s="35"/>
      <c r="AV432" s="35"/>
      <c r="AW432" s="35"/>
      <c r="AX432" s="35"/>
      <c r="AY432" s="36"/>
      <c r="BF432" s="35"/>
      <c r="BG432" s="35"/>
      <c r="BO432" s="35"/>
      <c r="BP432" s="35"/>
      <c r="BW432" s="36"/>
      <c r="BX432" s="36"/>
      <c r="BY432" s="36"/>
      <c r="BZ432" s="36"/>
      <c r="CY432" s="33"/>
    </row>
    <row r="433" spans="2:103" s="32" customFormat="1" x14ac:dyDescent="0.15">
      <c r="B433" s="33"/>
      <c r="E433" s="35"/>
      <c r="H433" s="33"/>
      <c r="N433" s="114"/>
      <c r="O433" s="34"/>
      <c r="P433" s="33"/>
      <c r="Q433" s="33"/>
      <c r="AA433" s="33"/>
      <c r="AB433" s="33"/>
      <c r="AC433" s="33"/>
      <c r="AD433" s="139"/>
      <c r="AE433" s="33"/>
      <c r="AL433" s="35"/>
      <c r="AV433" s="35"/>
      <c r="AW433" s="35"/>
      <c r="AX433" s="35"/>
      <c r="AY433" s="36"/>
      <c r="BF433" s="35"/>
      <c r="BG433" s="35"/>
      <c r="BO433" s="35"/>
      <c r="BP433" s="35"/>
      <c r="BW433" s="36"/>
      <c r="BX433" s="36"/>
      <c r="BY433" s="36"/>
      <c r="BZ433" s="36"/>
      <c r="CY433" s="33"/>
    </row>
    <row r="434" spans="2:103" s="32" customFormat="1" x14ac:dyDescent="0.15">
      <c r="B434" s="33"/>
      <c r="E434" s="35"/>
      <c r="H434" s="33"/>
      <c r="N434" s="114"/>
      <c r="O434" s="34"/>
      <c r="P434" s="33"/>
      <c r="Q434" s="33"/>
      <c r="AA434" s="33"/>
      <c r="AB434" s="33"/>
      <c r="AC434" s="33"/>
      <c r="AD434" s="139"/>
      <c r="AE434" s="33"/>
      <c r="AL434" s="35"/>
      <c r="AV434" s="35"/>
      <c r="AW434" s="35"/>
      <c r="AX434" s="35"/>
      <c r="AY434" s="36"/>
      <c r="BF434" s="35"/>
      <c r="BG434" s="35"/>
      <c r="BO434" s="35"/>
      <c r="BP434" s="35"/>
      <c r="BW434" s="36"/>
      <c r="BX434" s="36"/>
      <c r="BY434" s="36"/>
      <c r="BZ434" s="36"/>
      <c r="CY434" s="33"/>
    </row>
    <row r="435" spans="2:103" s="32" customFormat="1" x14ac:dyDescent="0.15">
      <c r="B435" s="33"/>
      <c r="E435" s="35"/>
      <c r="H435" s="33"/>
      <c r="N435" s="114"/>
      <c r="O435" s="34"/>
      <c r="P435" s="33"/>
      <c r="Q435" s="33"/>
      <c r="AA435" s="33"/>
      <c r="AB435" s="33"/>
      <c r="AC435" s="33"/>
      <c r="AD435" s="139"/>
      <c r="AE435" s="33"/>
      <c r="AL435" s="35"/>
      <c r="AV435" s="35"/>
      <c r="AW435" s="35"/>
      <c r="AX435" s="35"/>
      <c r="AY435" s="36"/>
      <c r="BF435" s="35"/>
      <c r="BG435" s="35"/>
      <c r="BO435" s="35"/>
      <c r="BP435" s="35"/>
      <c r="BW435" s="36"/>
      <c r="BX435" s="36"/>
      <c r="BY435" s="36"/>
      <c r="BZ435" s="36"/>
      <c r="CY435" s="33"/>
    </row>
    <row r="436" spans="2:103" s="32" customFormat="1" x14ac:dyDescent="0.15">
      <c r="B436" s="33"/>
      <c r="E436" s="35"/>
      <c r="H436" s="33"/>
      <c r="N436" s="114"/>
      <c r="O436" s="34"/>
      <c r="P436" s="33"/>
      <c r="Q436" s="33"/>
      <c r="AA436" s="33"/>
      <c r="AB436" s="33"/>
      <c r="AC436" s="33"/>
      <c r="AD436" s="139"/>
      <c r="AE436" s="33"/>
      <c r="AL436" s="35"/>
      <c r="AV436" s="35"/>
      <c r="AW436" s="35"/>
      <c r="AX436" s="35"/>
      <c r="AY436" s="36"/>
      <c r="BF436" s="35"/>
      <c r="BG436" s="35"/>
      <c r="BO436" s="35"/>
      <c r="BP436" s="35"/>
      <c r="BW436" s="36"/>
      <c r="BX436" s="36"/>
      <c r="BY436" s="36"/>
      <c r="BZ436" s="36"/>
      <c r="CY436" s="33"/>
    </row>
    <row r="437" spans="2:103" s="32" customFormat="1" x14ac:dyDescent="0.15">
      <c r="B437" s="33"/>
      <c r="E437" s="35"/>
      <c r="H437" s="33"/>
      <c r="N437" s="114"/>
      <c r="O437" s="34"/>
      <c r="P437" s="33"/>
      <c r="Q437" s="33"/>
      <c r="AA437" s="33"/>
      <c r="AB437" s="33"/>
      <c r="AC437" s="33"/>
      <c r="AD437" s="139"/>
      <c r="AE437" s="33"/>
      <c r="AL437" s="35"/>
      <c r="AV437" s="35"/>
      <c r="AW437" s="35"/>
      <c r="AX437" s="35"/>
      <c r="AY437" s="36"/>
      <c r="BF437" s="35"/>
      <c r="BG437" s="35"/>
      <c r="BO437" s="35"/>
      <c r="BP437" s="35"/>
      <c r="BW437" s="36"/>
      <c r="BX437" s="36"/>
      <c r="BY437" s="36"/>
      <c r="BZ437" s="36"/>
      <c r="CY437" s="33"/>
    </row>
    <row r="438" spans="2:103" s="32" customFormat="1" x14ac:dyDescent="0.15">
      <c r="B438" s="33"/>
      <c r="E438" s="35"/>
      <c r="H438" s="33"/>
      <c r="N438" s="114"/>
      <c r="O438" s="34"/>
      <c r="P438" s="33"/>
      <c r="Q438" s="33"/>
      <c r="AA438" s="33"/>
      <c r="AB438" s="33"/>
      <c r="AC438" s="33"/>
      <c r="AD438" s="139"/>
      <c r="AE438" s="33"/>
      <c r="AL438" s="35"/>
      <c r="AV438" s="35"/>
      <c r="AW438" s="35"/>
      <c r="AX438" s="35"/>
      <c r="AY438" s="36"/>
      <c r="BF438" s="35"/>
      <c r="BG438" s="35"/>
      <c r="BO438" s="35"/>
      <c r="BP438" s="35"/>
      <c r="BW438" s="36"/>
      <c r="BX438" s="36"/>
      <c r="BY438" s="36"/>
      <c r="BZ438" s="36"/>
      <c r="CY438" s="33"/>
    </row>
    <row r="439" spans="2:103" s="32" customFormat="1" x14ac:dyDescent="0.15">
      <c r="B439" s="33"/>
      <c r="E439" s="35"/>
      <c r="H439" s="33"/>
      <c r="N439" s="114"/>
      <c r="O439" s="34"/>
      <c r="P439" s="33"/>
      <c r="Q439" s="33"/>
      <c r="AA439" s="33"/>
      <c r="AB439" s="33"/>
      <c r="AC439" s="33"/>
      <c r="AD439" s="139"/>
      <c r="AE439" s="33"/>
      <c r="AL439" s="35"/>
      <c r="AV439" s="35"/>
      <c r="AW439" s="35"/>
      <c r="AX439" s="35"/>
      <c r="AY439" s="36"/>
      <c r="BF439" s="35"/>
      <c r="BG439" s="35"/>
      <c r="BO439" s="35"/>
      <c r="BP439" s="35"/>
      <c r="BW439" s="36"/>
      <c r="BX439" s="36"/>
      <c r="BY439" s="36"/>
      <c r="BZ439" s="36"/>
      <c r="CY439" s="33"/>
    </row>
    <row r="440" spans="2:103" s="32" customFormat="1" x14ac:dyDescent="0.15">
      <c r="B440" s="33"/>
      <c r="E440" s="35"/>
      <c r="H440" s="33"/>
      <c r="N440" s="114"/>
      <c r="O440" s="34"/>
      <c r="P440" s="33"/>
      <c r="Q440" s="33"/>
      <c r="AA440" s="33"/>
      <c r="AB440" s="33"/>
      <c r="AC440" s="33"/>
      <c r="AD440" s="139"/>
      <c r="AE440" s="33"/>
      <c r="AL440" s="35"/>
      <c r="AV440" s="35"/>
      <c r="AW440" s="35"/>
      <c r="AX440" s="35"/>
      <c r="AY440" s="36"/>
      <c r="BF440" s="35"/>
      <c r="BG440" s="35"/>
      <c r="BO440" s="35"/>
      <c r="BP440" s="35"/>
      <c r="BW440" s="36"/>
      <c r="BX440" s="36"/>
      <c r="BY440" s="36"/>
      <c r="BZ440" s="36"/>
      <c r="CY440" s="33"/>
    </row>
    <row r="441" spans="2:103" s="32" customFormat="1" x14ac:dyDescent="0.15">
      <c r="B441" s="33"/>
      <c r="E441" s="35"/>
      <c r="H441" s="33"/>
      <c r="N441" s="114"/>
      <c r="O441" s="34"/>
      <c r="P441" s="33"/>
      <c r="Q441" s="33"/>
      <c r="AA441" s="33"/>
      <c r="AB441" s="33"/>
      <c r="AC441" s="33"/>
      <c r="AD441" s="139"/>
      <c r="AE441" s="33"/>
      <c r="AL441" s="35"/>
      <c r="AV441" s="35"/>
      <c r="AW441" s="35"/>
      <c r="AX441" s="35"/>
      <c r="AY441" s="36"/>
      <c r="BF441" s="35"/>
      <c r="BG441" s="35"/>
      <c r="BO441" s="35"/>
      <c r="BP441" s="35"/>
      <c r="BW441" s="36"/>
      <c r="BX441" s="36"/>
      <c r="BY441" s="36"/>
      <c r="BZ441" s="36"/>
      <c r="CY441" s="33"/>
    </row>
    <row r="442" spans="2:103" s="32" customFormat="1" x14ac:dyDescent="0.15">
      <c r="B442" s="33"/>
      <c r="E442" s="35"/>
      <c r="H442" s="33"/>
      <c r="N442" s="114"/>
      <c r="O442" s="34"/>
      <c r="P442" s="33"/>
      <c r="Q442" s="33"/>
      <c r="AA442" s="33"/>
      <c r="AB442" s="33"/>
      <c r="AC442" s="33"/>
      <c r="AD442" s="139"/>
      <c r="AE442" s="33"/>
      <c r="AL442" s="35"/>
      <c r="AV442" s="35"/>
      <c r="AW442" s="35"/>
      <c r="AX442" s="35"/>
      <c r="AY442" s="36"/>
      <c r="BF442" s="35"/>
      <c r="BG442" s="35"/>
      <c r="BO442" s="35"/>
      <c r="BP442" s="35"/>
      <c r="BW442" s="36"/>
      <c r="BX442" s="36"/>
      <c r="BY442" s="36"/>
      <c r="BZ442" s="36"/>
      <c r="CY442" s="33"/>
    </row>
    <row r="443" spans="2:103" s="32" customFormat="1" x14ac:dyDescent="0.15">
      <c r="B443" s="33"/>
      <c r="E443" s="35"/>
      <c r="H443" s="33"/>
      <c r="N443" s="114"/>
      <c r="O443" s="34"/>
      <c r="P443" s="33"/>
      <c r="Q443" s="33"/>
      <c r="AA443" s="33"/>
      <c r="AB443" s="33"/>
      <c r="AC443" s="33"/>
      <c r="AD443" s="139"/>
      <c r="AE443" s="33"/>
      <c r="AL443" s="35"/>
      <c r="AV443" s="35"/>
      <c r="AW443" s="35"/>
      <c r="AX443" s="35"/>
      <c r="AY443" s="36"/>
      <c r="BF443" s="35"/>
      <c r="BG443" s="35"/>
      <c r="BO443" s="35"/>
      <c r="BP443" s="35"/>
      <c r="BW443" s="36"/>
      <c r="BX443" s="36"/>
      <c r="BY443" s="36"/>
      <c r="BZ443" s="36"/>
      <c r="CY443" s="33"/>
    </row>
    <row r="444" spans="2:103" s="32" customFormat="1" x14ac:dyDescent="0.15">
      <c r="B444" s="33"/>
      <c r="E444" s="35"/>
      <c r="H444" s="33"/>
      <c r="N444" s="114"/>
      <c r="O444" s="34"/>
      <c r="P444" s="33"/>
      <c r="Q444" s="33"/>
      <c r="AA444" s="33"/>
      <c r="AB444" s="33"/>
      <c r="AC444" s="33"/>
      <c r="AD444" s="139"/>
      <c r="AE444" s="33"/>
      <c r="AL444" s="35"/>
      <c r="AV444" s="35"/>
      <c r="AW444" s="35"/>
      <c r="AX444" s="35"/>
      <c r="AY444" s="36"/>
      <c r="BF444" s="35"/>
      <c r="BG444" s="35"/>
      <c r="BO444" s="35"/>
      <c r="BP444" s="35"/>
      <c r="BW444" s="36"/>
      <c r="BX444" s="36"/>
      <c r="BY444" s="36"/>
      <c r="BZ444" s="36"/>
      <c r="CY444" s="33"/>
    </row>
    <row r="445" spans="2:103" s="32" customFormat="1" x14ac:dyDescent="0.15">
      <c r="B445" s="33"/>
      <c r="E445" s="35"/>
      <c r="H445" s="33"/>
      <c r="N445" s="114"/>
      <c r="O445" s="34"/>
      <c r="P445" s="33"/>
      <c r="Q445" s="33"/>
      <c r="AA445" s="33"/>
      <c r="AB445" s="33"/>
      <c r="AC445" s="33"/>
      <c r="AD445" s="139"/>
      <c r="AE445" s="33"/>
      <c r="AL445" s="35"/>
      <c r="AV445" s="35"/>
      <c r="AW445" s="35"/>
      <c r="AX445" s="35"/>
      <c r="AY445" s="36"/>
      <c r="BF445" s="35"/>
      <c r="BG445" s="35"/>
      <c r="BO445" s="35"/>
      <c r="BP445" s="35"/>
      <c r="BW445" s="36"/>
      <c r="BX445" s="36"/>
      <c r="BY445" s="36"/>
      <c r="BZ445" s="36"/>
      <c r="CY445" s="33"/>
    </row>
    <row r="446" spans="2:103" s="32" customFormat="1" x14ac:dyDescent="0.15">
      <c r="B446" s="33"/>
      <c r="E446" s="35"/>
      <c r="H446" s="33"/>
      <c r="N446" s="114"/>
      <c r="O446" s="34"/>
      <c r="P446" s="33"/>
      <c r="Q446" s="33"/>
      <c r="AA446" s="33"/>
      <c r="AB446" s="33"/>
      <c r="AC446" s="33"/>
      <c r="AD446" s="139"/>
      <c r="AE446" s="33"/>
      <c r="AL446" s="35"/>
      <c r="AV446" s="35"/>
      <c r="AW446" s="35"/>
      <c r="AX446" s="35"/>
      <c r="AY446" s="36"/>
      <c r="BF446" s="35"/>
      <c r="BG446" s="35"/>
      <c r="BO446" s="35"/>
      <c r="BP446" s="35"/>
      <c r="BW446" s="36"/>
      <c r="BX446" s="36"/>
      <c r="BY446" s="36"/>
      <c r="BZ446" s="36"/>
      <c r="CY446" s="33"/>
    </row>
    <row r="447" spans="2:103" s="32" customFormat="1" x14ac:dyDescent="0.15">
      <c r="B447" s="33"/>
      <c r="E447" s="35"/>
      <c r="H447" s="33"/>
      <c r="N447" s="114"/>
      <c r="O447" s="34"/>
      <c r="P447" s="33"/>
      <c r="Q447" s="33"/>
      <c r="AA447" s="33"/>
      <c r="AB447" s="33"/>
      <c r="AC447" s="33"/>
      <c r="AD447" s="139"/>
      <c r="AE447" s="33"/>
      <c r="AL447" s="35"/>
      <c r="AV447" s="35"/>
      <c r="AW447" s="35"/>
      <c r="AX447" s="35"/>
      <c r="AY447" s="36"/>
      <c r="BF447" s="35"/>
      <c r="BG447" s="35"/>
      <c r="BO447" s="35"/>
      <c r="BP447" s="35"/>
      <c r="BW447" s="36"/>
      <c r="BX447" s="36"/>
      <c r="BY447" s="36"/>
      <c r="BZ447" s="36"/>
      <c r="CY447" s="33"/>
    </row>
    <row r="448" spans="2:103" s="32" customFormat="1" x14ac:dyDescent="0.15">
      <c r="B448" s="33"/>
      <c r="E448" s="35"/>
      <c r="H448" s="33"/>
      <c r="N448" s="114"/>
      <c r="O448" s="34"/>
      <c r="P448" s="33"/>
      <c r="Q448" s="33"/>
      <c r="AA448" s="33"/>
      <c r="AB448" s="33"/>
      <c r="AC448" s="33"/>
      <c r="AD448" s="139"/>
      <c r="AE448" s="33"/>
      <c r="AL448" s="35"/>
      <c r="AV448" s="35"/>
      <c r="AW448" s="35"/>
      <c r="AX448" s="35"/>
      <c r="AY448" s="36"/>
      <c r="BF448" s="35"/>
      <c r="BG448" s="35"/>
      <c r="BO448" s="35"/>
      <c r="BP448" s="35"/>
      <c r="BW448" s="36"/>
      <c r="BX448" s="36"/>
      <c r="BY448" s="36"/>
      <c r="BZ448" s="36"/>
      <c r="CY448" s="33"/>
    </row>
    <row r="449" spans="2:103" s="32" customFormat="1" x14ac:dyDescent="0.15">
      <c r="B449" s="33"/>
      <c r="E449" s="35"/>
      <c r="H449" s="33"/>
      <c r="N449" s="114"/>
      <c r="O449" s="34"/>
      <c r="P449" s="33"/>
      <c r="Q449" s="33"/>
      <c r="AA449" s="33"/>
      <c r="AB449" s="33"/>
      <c r="AC449" s="33"/>
      <c r="AD449" s="139"/>
      <c r="AE449" s="33"/>
      <c r="AL449" s="35"/>
      <c r="AV449" s="35"/>
      <c r="AW449" s="35"/>
      <c r="AX449" s="35"/>
      <c r="AY449" s="36"/>
      <c r="BF449" s="35"/>
      <c r="BG449" s="35"/>
      <c r="BO449" s="35"/>
      <c r="BP449" s="35"/>
      <c r="BW449" s="36"/>
      <c r="BX449" s="36"/>
      <c r="BY449" s="36"/>
      <c r="BZ449" s="36"/>
      <c r="CY449" s="33"/>
    </row>
    <row r="450" spans="2:103" s="32" customFormat="1" x14ac:dyDescent="0.15">
      <c r="B450" s="33"/>
      <c r="E450" s="35"/>
      <c r="H450" s="33"/>
      <c r="N450" s="114"/>
      <c r="O450" s="34"/>
      <c r="P450" s="33"/>
      <c r="Q450" s="33"/>
      <c r="AA450" s="33"/>
      <c r="AB450" s="33"/>
      <c r="AC450" s="33"/>
      <c r="AD450" s="139"/>
      <c r="AE450" s="33"/>
      <c r="AL450" s="35"/>
      <c r="AV450" s="35"/>
      <c r="AW450" s="35"/>
      <c r="AX450" s="35"/>
      <c r="AY450" s="36"/>
      <c r="BF450" s="35"/>
      <c r="BG450" s="35"/>
      <c r="BO450" s="35"/>
      <c r="BP450" s="35"/>
      <c r="BW450" s="36"/>
      <c r="BX450" s="36"/>
      <c r="BY450" s="36"/>
      <c r="BZ450" s="36"/>
      <c r="CY450" s="33"/>
    </row>
    <row r="451" spans="2:103" s="32" customFormat="1" x14ac:dyDescent="0.15">
      <c r="B451" s="33"/>
      <c r="E451" s="35"/>
      <c r="H451" s="33"/>
      <c r="N451" s="114"/>
      <c r="O451" s="34"/>
      <c r="P451" s="33"/>
      <c r="Q451" s="33"/>
      <c r="AA451" s="33"/>
      <c r="AB451" s="33"/>
      <c r="AC451" s="33"/>
      <c r="AD451" s="139"/>
      <c r="AE451" s="33"/>
      <c r="AL451" s="35"/>
      <c r="AV451" s="35"/>
      <c r="AW451" s="35"/>
      <c r="AX451" s="35"/>
      <c r="AY451" s="36"/>
      <c r="BF451" s="35"/>
      <c r="BG451" s="35"/>
      <c r="BO451" s="35"/>
      <c r="BP451" s="35"/>
      <c r="BW451" s="36"/>
      <c r="BX451" s="36"/>
      <c r="BY451" s="36"/>
      <c r="BZ451" s="36"/>
      <c r="CY451" s="33"/>
    </row>
    <row r="452" spans="2:103" s="32" customFormat="1" x14ac:dyDescent="0.15">
      <c r="B452" s="33"/>
      <c r="E452" s="35"/>
      <c r="H452" s="33"/>
      <c r="N452" s="114"/>
      <c r="O452" s="34"/>
      <c r="P452" s="33"/>
      <c r="Q452" s="33"/>
      <c r="AA452" s="33"/>
      <c r="AB452" s="33"/>
      <c r="AC452" s="33"/>
      <c r="AD452" s="139"/>
      <c r="AE452" s="33"/>
      <c r="AL452" s="35"/>
      <c r="AV452" s="35"/>
      <c r="AW452" s="35"/>
      <c r="AX452" s="35"/>
      <c r="AY452" s="36"/>
      <c r="BF452" s="35"/>
      <c r="BG452" s="35"/>
      <c r="BO452" s="35"/>
      <c r="BP452" s="35"/>
      <c r="BW452" s="36"/>
      <c r="BX452" s="36"/>
      <c r="BY452" s="36"/>
      <c r="BZ452" s="36"/>
      <c r="CY452" s="33"/>
    </row>
    <row r="453" spans="2:103" s="32" customFormat="1" x14ac:dyDescent="0.15">
      <c r="B453" s="33"/>
      <c r="E453" s="35"/>
      <c r="H453" s="33"/>
      <c r="N453" s="114"/>
      <c r="O453" s="34"/>
      <c r="P453" s="33"/>
      <c r="Q453" s="33"/>
      <c r="AA453" s="33"/>
      <c r="AB453" s="33"/>
      <c r="AC453" s="33"/>
      <c r="AD453" s="139"/>
      <c r="AE453" s="33"/>
      <c r="AL453" s="35"/>
      <c r="AV453" s="35"/>
      <c r="AW453" s="35"/>
      <c r="AX453" s="35"/>
      <c r="AY453" s="36"/>
      <c r="BF453" s="35"/>
      <c r="BG453" s="35"/>
      <c r="BO453" s="35"/>
      <c r="BP453" s="35"/>
      <c r="BW453" s="36"/>
      <c r="BX453" s="36"/>
      <c r="BY453" s="36"/>
      <c r="BZ453" s="36"/>
      <c r="CY453" s="33"/>
    </row>
    <row r="454" spans="2:103" s="32" customFormat="1" x14ac:dyDescent="0.15">
      <c r="B454" s="33"/>
      <c r="E454" s="35"/>
      <c r="H454" s="33"/>
      <c r="N454" s="114"/>
      <c r="O454" s="34"/>
      <c r="P454" s="33"/>
      <c r="Q454" s="33"/>
      <c r="AA454" s="33"/>
      <c r="AB454" s="33"/>
      <c r="AC454" s="33"/>
      <c r="AD454" s="139"/>
      <c r="AE454" s="33"/>
      <c r="AL454" s="35"/>
      <c r="AV454" s="35"/>
      <c r="AW454" s="35"/>
      <c r="AX454" s="35"/>
      <c r="AY454" s="36"/>
      <c r="BF454" s="35"/>
      <c r="BG454" s="35"/>
      <c r="BO454" s="35"/>
      <c r="BP454" s="35"/>
      <c r="BW454" s="36"/>
      <c r="BX454" s="36"/>
      <c r="BY454" s="36"/>
      <c r="BZ454" s="36"/>
      <c r="CY454" s="33"/>
    </row>
    <row r="455" spans="2:103" s="32" customFormat="1" x14ac:dyDescent="0.15">
      <c r="B455" s="33"/>
      <c r="E455" s="35"/>
      <c r="H455" s="33"/>
      <c r="N455" s="114"/>
      <c r="O455" s="34"/>
      <c r="P455" s="33"/>
      <c r="Q455" s="33"/>
      <c r="AA455" s="33"/>
      <c r="AB455" s="33"/>
      <c r="AC455" s="33"/>
      <c r="AD455" s="139"/>
      <c r="AE455" s="33"/>
      <c r="AL455" s="35"/>
      <c r="AV455" s="35"/>
      <c r="AW455" s="35"/>
      <c r="AX455" s="35"/>
      <c r="AY455" s="36"/>
      <c r="BF455" s="35"/>
      <c r="BG455" s="35"/>
      <c r="BO455" s="35"/>
      <c r="BP455" s="35"/>
      <c r="BW455" s="36"/>
      <c r="BX455" s="36"/>
      <c r="BY455" s="36"/>
      <c r="BZ455" s="36"/>
      <c r="CY455" s="33"/>
    </row>
    <row r="456" spans="2:103" s="32" customFormat="1" x14ac:dyDescent="0.15">
      <c r="B456" s="33"/>
      <c r="E456" s="35"/>
      <c r="H456" s="33"/>
      <c r="N456" s="114"/>
      <c r="O456" s="34"/>
      <c r="P456" s="33"/>
      <c r="Q456" s="33"/>
      <c r="AA456" s="33"/>
      <c r="AB456" s="33"/>
      <c r="AC456" s="33"/>
      <c r="AD456" s="139"/>
      <c r="AE456" s="33"/>
      <c r="AL456" s="35"/>
      <c r="AV456" s="35"/>
      <c r="AW456" s="35"/>
      <c r="AX456" s="35"/>
      <c r="AY456" s="36"/>
      <c r="BF456" s="35"/>
      <c r="BG456" s="35"/>
      <c r="BO456" s="35"/>
      <c r="BP456" s="35"/>
      <c r="BW456" s="36"/>
      <c r="BX456" s="36"/>
      <c r="BY456" s="36"/>
      <c r="BZ456" s="36"/>
      <c r="CY456" s="33"/>
    </row>
    <row r="457" spans="2:103" s="32" customFormat="1" x14ac:dyDescent="0.15">
      <c r="B457" s="33"/>
      <c r="E457" s="35"/>
      <c r="H457" s="33"/>
      <c r="N457" s="114"/>
      <c r="O457" s="34"/>
      <c r="P457" s="33"/>
      <c r="Q457" s="33"/>
      <c r="AA457" s="33"/>
      <c r="AB457" s="33"/>
      <c r="AC457" s="33"/>
      <c r="AD457" s="139"/>
      <c r="AE457" s="33"/>
      <c r="AL457" s="35"/>
      <c r="AV457" s="35"/>
      <c r="AW457" s="35"/>
      <c r="AX457" s="35"/>
      <c r="AY457" s="36"/>
      <c r="BF457" s="35"/>
      <c r="BG457" s="35"/>
      <c r="BO457" s="35"/>
      <c r="BP457" s="35"/>
      <c r="BW457" s="36"/>
      <c r="BX457" s="36"/>
      <c r="BY457" s="36"/>
      <c r="BZ457" s="36"/>
      <c r="CY457" s="33"/>
    </row>
    <row r="458" spans="2:103" s="32" customFormat="1" x14ac:dyDescent="0.15">
      <c r="B458" s="33"/>
      <c r="E458" s="35"/>
      <c r="H458" s="33"/>
      <c r="N458" s="114"/>
      <c r="O458" s="34"/>
      <c r="P458" s="33"/>
      <c r="Q458" s="33"/>
      <c r="AA458" s="33"/>
      <c r="AB458" s="33"/>
      <c r="AC458" s="33"/>
      <c r="AD458" s="139"/>
      <c r="AE458" s="33"/>
      <c r="AL458" s="35"/>
      <c r="AV458" s="35"/>
      <c r="AW458" s="35"/>
      <c r="AX458" s="35"/>
      <c r="AY458" s="36"/>
      <c r="BF458" s="35"/>
      <c r="BG458" s="35"/>
      <c r="BO458" s="35"/>
      <c r="BP458" s="35"/>
      <c r="BW458" s="36"/>
      <c r="BX458" s="36"/>
      <c r="BY458" s="36"/>
      <c r="BZ458" s="36"/>
      <c r="CY458" s="33"/>
    </row>
    <row r="459" spans="2:103" s="32" customFormat="1" x14ac:dyDescent="0.15">
      <c r="B459" s="33"/>
      <c r="E459" s="35"/>
      <c r="H459" s="33"/>
      <c r="N459" s="114"/>
      <c r="O459" s="34"/>
      <c r="P459" s="33"/>
      <c r="Q459" s="33"/>
      <c r="AA459" s="33"/>
      <c r="AB459" s="33"/>
      <c r="AC459" s="33"/>
      <c r="AD459" s="139"/>
      <c r="AE459" s="33"/>
      <c r="AL459" s="35"/>
      <c r="AV459" s="35"/>
      <c r="AW459" s="35"/>
      <c r="AX459" s="35"/>
      <c r="AY459" s="36"/>
      <c r="BF459" s="35"/>
      <c r="BG459" s="35"/>
      <c r="BO459" s="35"/>
      <c r="BP459" s="35"/>
      <c r="BW459" s="36"/>
      <c r="BX459" s="36"/>
      <c r="BY459" s="36"/>
      <c r="BZ459" s="36"/>
      <c r="CY459" s="33"/>
    </row>
    <row r="460" spans="2:103" s="32" customFormat="1" x14ac:dyDescent="0.15">
      <c r="B460" s="33"/>
      <c r="E460" s="35"/>
      <c r="H460" s="33"/>
      <c r="N460" s="114"/>
      <c r="O460" s="34"/>
      <c r="P460" s="33"/>
      <c r="Q460" s="33"/>
      <c r="AA460" s="33"/>
      <c r="AB460" s="33"/>
      <c r="AC460" s="33"/>
      <c r="AD460" s="139"/>
      <c r="AE460" s="33"/>
      <c r="AL460" s="35"/>
      <c r="AV460" s="35"/>
      <c r="AW460" s="35"/>
      <c r="AX460" s="35"/>
      <c r="AY460" s="36"/>
      <c r="BF460" s="35"/>
      <c r="BG460" s="35"/>
      <c r="BO460" s="35"/>
      <c r="BP460" s="35"/>
      <c r="BW460" s="36"/>
      <c r="BX460" s="36"/>
      <c r="BY460" s="36"/>
      <c r="BZ460" s="36"/>
      <c r="CY460" s="33"/>
    </row>
    <row r="461" spans="2:103" s="32" customFormat="1" x14ac:dyDescent="0.15">
      <c r="B461" s="33"/>
      <c r="E461" s="35"/>
      <c r="H461" s="33"/>
      <c r="N461" s="114"/>
      <c r="O461" s="34"/>
      <c r="P461" s="33"/>
      <c r="Q461" s="33"/>
      <c r="AA461" s="33"/>
      <c r="AB461" s="33"/>
      <c r="AC461" s="33"/>
      <c r="AD461" s="139"/>
      <c r="AE461" s="33"/>
      <c r="AL461" s="35"/>
      <c r="AV461" s="35"/>
      <c r="AW461" s="35"/>
      <c r="AX461" s="35"/>
      <c r="AY461" s="36"/>
      <c r="BF461" s="35"/>
      <c r="BG461" s="35"/>
      <c r="BO461" s="35"/>
      <c r="BP461" s="35"/>
      <c r="BW461" s="36"/>
      <c r="BX461" s="36"/>
      <c r="BY461" s="36"/>
      <c r="BZ461" s="36"/>
      <c r="CY461" s="33"/>
    </row>
    <row r="462" spans="2:103" s="32" customFormat="1" x14ac:dyDescent="0.15">
      <c r="B462" s="33"/>
      <c r="E462" s="35"/>
      <c r="H462" s="33"/>
      <c r="N462" s="114"/>
      <c r="O462" s="34"/>
      <c r="P462" s="33"/>
      <c r="Q462" s="33"/>
      <c r="AA462" s="33"/>
      <c r="AB462" s="33"/>
      <c r="AC462" s="33"/>
      <c r="AD462" s="139"/>
      <c r="AE462" s="33"/>
      <c r="AL462" s="35"/>
      <c r="AV462" s="35"/>
      <c r="AW462" s="35"/>
      <c r="AX462" s="35"/>
      <c r="AY462" s="36"/>
      <c r="BF462" s="35"/>
      <c r="BG462" s="35"/>
      <c r="BO462" s="35"/>
      <c r="BP462" s="35"/>
      <c r="BW462" s="36"/>
      <c r="BX462" s="36"/>
      <c r="BY462" s="36"/>
      <c r="BZ462" s="36"/>
      <c r="CY462" s="33"/>
    </row>
    <row r="463" spans="2:103" s="32" customFormat="1" x14ac:dyDescent="0.15">
      <c r="B463" s="33"/>
      <c r="E463" s="35"/>
      <c r="H463" s="33"/>
      <c r="N463" s="114"/>
      <c r="O463" s="34"/>
      <c r="P463" s="33"/>
      <c r="Q463" s="33"/>
      <c r="AA463" s="33"/>
      <c r="AB463" s="33"/>
      <c r="AC463" s="33"/>
      <c r="AD463" s="139"/>
      <c r="AE463" s="33"/>
      <c r="AL463" s="35"/>
      <c r="AV463" s="35"/>
      <c r="AW463" s="35"/>
      <c r="AX463" s="35"/>
      <c r="AY463" s="36"/>
      <c r="BF463" s="35"/>
      <c r="BG463" s="35"/>
      <c r="BO463" s="35"/>
      <c r="BP463" s="35"/>
      <c r="BW463" s="36"/>
      <c r="BX463" s="36"/>
      <c r="BY463" s="36"/>
      <c r="BZ463" s="36"/>
      <c r="CY463" s="33"/>
    </row>
    <row r="464" spans="2:103" s="32" customFormat="1" x14ac:dyDescent="0.15">
      <c r="B464" s="33"/>
      <c r="E464" s="35"/>
      <c r="H464" s="33"/>
      <c r="N464" s="114"/>
      <c r="O464" s="34"/>
      <c r="P464" s="33"/>
      <c r="Q464" s="33"/>
      <c r="AA464" s="33"/>
      <c r="AB464" s="33"/>
      <c r="AC464" s="33"/>
      <c r="AD464" s="139"/>
      <c r="AE464" s="33"/>
      <c r="AL464" s="35"/>
      <c r="AV464" s="35"/>
      <c r="AW464" s="35"/>
      <c r="AX464" s="35"/>
      <c r="AY464" s="36"/>
      <c r="BF464" s="35"/>
      <c r="BG464" s="35"/>
      <c r="BO464" s="35"/>
      <c r="BP464" s="35"/>
      <c r="BW464" s="36"/>
      <c r="BX464" s="36"/>
      <c r="BY464" s="36"/>
      <c r="BZ464" s="36"/>
      <c r="CY464" s="33"/>
    </row>
    <row r="465" spans="2:103" s="32" customFormat="1" x14ac:dyDescent="0.15">
      <c r="B465" s="33"/>
      <c r="E465" s="35"/>
      <c r="H465" s="33"/>
      <c r="N465" s="114"/>
      <c r="O465" s="34"/>
      <c r="P465" s="33"/>
      <c r="Q465" s="33"/>
      <c r="AA465" s="33"/>
      <c r="AB465" s="33"/>
      <c r="AC465" s="33"/>
      <c r="AD465" s="139"/>
      <c r="AE465" s="33"/>
      <c r="AL465" s="35"/>
      <c r="AV465" s="35"/>
      <c r="AW465" s="35"/>
      <c r="AX465" s="35"/>
      <c r="AY465" s="36"/>
      <c r="BF465" s="35"/>
      <c r="BG465" s="35"/>
      <c r="BO465" s="35"/>
      <c r="BP465" s="35"/>
      <c r="BW465" s="36"/>
      <c r="BX465" s="36"/>
      <c r="BY465" s="36"/>
      <c r="BZ465" s="36"/>
      <c r="CY465" s="33"/>
    </row>
    <row r="466" spans="2:103" s="32" customFormat="1" x14ac:dyDescent="0.15">
      <c r="B466" s="33"/>
      <c r="E466" s="35"/>
      <c r="H466" s="33"/>
      <c r="N466" s="114"/>
      <c r="O466" s="34"/>
      <c r="P466" s="33"/>
      <c r="Q466" s="33"/>
      <c r="AA466" s="33"/>
      <c r="AB466" s="33"/>
      <c r="AC466" s="33"/>
      <c r="AD466" s="139"/>
      <c r="AE466" s="33"/>
      <c r="AL466" s="35"/>
      <c r="AV466" s="35"/>
      <c r="AW466" s="35"/>
      <c r="AX466" s="35"/>
      <c r="AY466" s="36"/>
      <c r="BF466" s="35"/>
      <c r="BG466" s="35"/>
      <c r="BO466" s="35"/>
      <c r="BP466" s="35"/>
      <c r="BW466" s="36"/>
      <c r="BX466" s="36"/>
      <c r="BY466" s="36"/>
      <c r="BZ466" s="36"/>
      <c r="CY466" s="33"/>
    </row>
    <row r="467" spans="2:103" s="32" customFormat="1" x14ac:dyDescent="0.15">
      <c r="B467" s="33"/>
      <c r="E467" s="35"/>
      <c r="H467" s="33"/>
      <c r="N467" s="114"/>
      <c r="O467" s="34"/>
      <c r="P467" s="33"/>
      <c r="Q467" s="33"/>
      <c r="AA467" s="33"/>
      <c r="AB467" s="33"/>
      <c r="AC467" s="33"/>
      <c r="AD467" s="139"/>
      <c r="AE467" s="33"/>
      <c r="AL467" s="35"/>
      <c r="AV467" s="35"/>
      <c r="AW467" s="35"/>
      <c r="AX467" s="35"/>
      <c r="AY467" s="36"/>
      <c r="BF467" s="35"/>
      <c r="BG467" s="35"/>
      <c r="BO467" s="35"/>
      <c r="BP467" s="35"/>
      <c r="BW467" s="36"/>
      <c r="BX467" s="36"/>
      <c r="BY467" s="36"/>
      <c r="BZ467" s="36"/>
      <c r="CY467" s="33"/>
    </row>
    <row r="468" spans="2:103" s="32" customFormat="1" x14ac:dyDescent="0.15">
      <c r="B468" s="33"/>
      <c r="E468" s="35"/>
      <c r="H468" s="33"/>
      <c r="N468" s="114"/>
      <c r="O468" s="34"/>
      <c r="P468" s="33"/>
      <c r="Q468" s="33"/>
      <c r="AA468" s="33"/>
      <c r="AB468" s="33"/>
      <c r="AC468" s="33"/>
      <c r="AD468" s="139"/>
      <c r="AE468" s="33"/>
      <c r="AL468" s="35"/>
      <c r="AV468" s="35"/>
      <c r="AW468" s="35"/>
      <c r="AX468" s="35"/>
      <c r="AY468" s="36"/>
      <c r="BF468" s="35"/>
      <c r="BG468" s="35"/>
      <c r="BO468" s="35"/>
      <c r="BP468" s="35"/>
      <c r="BW468" s="36"/>
      <c r="BX468" s="36"/>
      <c r="BY468" s="36"/>
      <c r="BZ468" s="36"/>
      <c r="CY468" s="33"/>
    </row>
    <row r="469" spans="2:103" s="32" customFormat="1" x14ac:dyDescent="0.15">
      <c r="B469" s="33"/>
      <c r="E469" s="35"/>
      <c r="H469" s="33"/>
      <c r="N469" s="114"/>
      <c r="O469" s="34"/>
      <c r="P469" s="33"/>
      <c r="Q469" s="33"/>
      <c r="AA469" s="33"/>
      <c r="AB469" s="33"/>
      <c r="AC469" s="33"/>
      <c r="AD469" s="139"/>
      <c r="AE469" s="33"/>
      <c r="AL469" s="35"/>
      <c r="AV469" s="35"/>
      <c r="AW469" s="35"/>
      <c r="AX469" s="35"/>
      <c r="AY469" s="36"/>
      <c r="BF469" s="35"/>
      <c r="BG469" s="35"/>
      <c r="BO469" s="35"/>
      <c r="BP469" s="35"/>
      <c r="BW469" s="36"/>
      <c r="BX469" s="36"/>
      <c r="BY469" s="36"/>
      <c r="BZ469" s="36"/>
      <c r="CY469" s="33"/>
    </row>
    <row r="470" spans="2:103" s="32" customFormat="1" x14ac:dyDescent="0.15">
      <c r="B470" s="33"/>
      <c r="E470" s="35"/>
      <c r="H470" s="33"/>
      <c r="N470" s="114"/>
      <c r="O470" s="34"/>
      <c r="P470" s="33"/>
      <c r="Q470" s="33"/>
      <c r="AA470" s="33"/>
      <c r="AB470" s="33"/>
      <c r="AC470" s="33"/>
      <c r="AD470" s="139"/>
      <c r="AE470" s="33"/>
      <c r="AL470" s="35"/>
      <c r="AV470" s="35"/>
      <c r="AW470" s="35"/>
      <c r="AX470" s="35"/>
      <c r="AY470" s="36"/>
      <c r="BF470" s="35"/>
      <c r="BG470" s="35"/>
      <c r="BO470" s="35"/>
      <c r="BP470" s="35"/>
      <c r="BW470" s="36"/>
      <c r="BX470" s="36"/>
      <c r="BY470" s="36"/>
      <c r="BZ470" s="36"/>
      <c r="CY470" s="33"/>
    </row>
    <row r="471" spans="2:103" s="32" customFormat="1" x14ac:dyDescent="0.15">
      <c r="B471" s="33"/>
      <c r="E471" s="35"/>
      <c r="H471" s="33"/>
      <c r="N471" s="114"/>
      <c r="O471" s="34"/>
      <c r="P471" s="33"/>
      <c r="Q471" s="33"/>
      <c r="AA471" s="33"/>
      <c r="AB471" s="33"/>
      <c r="AC471" s="33"/>
      <c r="AD471" s="139"/>
      <c r="AE471" s="33"/>
      <c r="AL471" s="35"/>
      <c r="AV471" s="35"/>
      <c r="AW471" s="35"/>
      <c r="AX471" s="35"/>
      <c r="AY471" s="36"/>
      <c r="BF471" s="35"/>
      <c r="BG471" s="35"/>
      <c r="BO471" s="35"/>
      <c r="BP471" s="35"/>
      <c r="BW471" s="36"/>
      <c r="BX471" s="36"/>
      <c r="BY471" s="36"/>
      <c r="BZ471" s="36"/>
      <c r="CY471" s="33"/>
    </row>
    <row r="472" spans="2:103" s="32" customFormat="1" x14ac:dyDescent="0.15">
      <c r="B472" s="33"/>
      <c r="E472" s="35"/>
      <c r="H472" s="33"/>
      <c r="N472" s="114"/>
      <c r="O472" s="34"/>
      <c r="P472" s="33"/>
      <c r="Q472" s="33"/>
      <c r="AA472" s="33"/>
      <c r="AB472" s="33"/>
      <c r="AC472" s="33"/>
      <c r="AD472" s="139"/>
      <c r="AE472" s="33"/>
      <c r="AL472" s="35"/>
      <c r="AV472" s="35"/>
      <c r="AW472" s="35"/>
      <c r="AX472" s="35"/>
      <c r="AY472" s="36"/>
      <c r="BF472" s="35"/>
      <c r="BG472" s="35"/>
      <c r="BO472" s="35"/>
      <c r="BP472" s="35"/>
      <c r="BW472" s="36"/>
      <c r="BX472" s="36"/>
      <c r="BY472" s="36"/>
      <c r="BZ472" s="36"/>
      <c r="CY472" s="33"/>
    </row>
    <row r="473" spans="2:103" s="32" customFormat="1" x14ac:dyDescent="0.15">
      <c r="B473" s="33"/>
      <c r="E473" s="35"/>
      <c r="H473" s="33"/>
      <c r="N473" s="114"/>
      <c r="O473" s="34"/>
      <c r="P473" s="33"/>
      <c r="Q473" s="33"/>
      <c r="AA473" s="33"/>
      <c r="AB473" s="33"/>
      <c r="AC473" s="33"/>
      <c r="AD473" s="139"/>
      <c r="AE473" s="33"/>
      <c r="AL473" s="35"/>
      <c r="AV473" s="35"/>
      <c r="AW473" s="35"/>
      <c r="AX473" s="35"/>
      <c r="AY473" s="36"/>
      <c r="BF473" s="35"/>
      <c r="BG473" s="35"/>
      <c r="BO473" s="35"/>
      <c r="BP473" s="35"/>
      <c r="BW473" s="36"/>
      <c r="BX473" s="36"/>
      <c r="BY473" s="36"/>
      <c r="BZ473" s="36"/>
      <c r="CY473" s="33"/>
    </row>
    <row r="474" spans="2:103" s="32" customFormat="1" x14ac:dyDescent="0.15">
      <c r="B474" s="33"/>
      <c r="E474" s="35"/>
      <c r="H474" s="33"/>
      <c r="N474" s="114"/>
      <c r="O474" s="34"/>
      <c r="P474" s="33"/>
      <c r="Q474" s="33"/>
      <c r="AA474" s="33"/>
      <c r="AB474" s="33"/>
      <c r="AC474" s="33"/>
      <c r="AD474" s="139"/>
      <c r="AE474" s="33"/>
      <c r="AL474" s="35"/>
      <c r="AV474" s="35"/>
      <c r="AW474" s="35"/>
      <c r="AX474" s="35"/>
      <c r="AY474" s="36"/>
      <c r="BF474" s="35"/>
      <c r="BG474" s="35"/>
      <c r="BO474" s="35"/>
      <c r="BP474" s="35"/>
      <c r="BW474" s="36"/>
      <c r="BX474" s="36"/>
      <c r="BY474" s="36"/>
      <c r="BZ474" s="36"/>
      <c r="CY474" s="33"/>
    </row>
    <row r="475" spans="2:103" s="32" customFormat="1" x14ac:dyDescent="0.15">
      <c r="B475" s="33"/>
      <c r="E475" s="35"/>
      <c r="H475" s="33"/>
      <c r="N475" s="114"/>
      <c r="O475" s="34"/>
      <c r="P475" s="33"/>
      <c r="Q475" s="33"/>
      <c r="AA475" s="33"/>
      <c r="AB475" s="33"/>
      <c r="AC475" s="33"/>
      <c r="AD475" s="139"/>
      <c r="AE475" s="33"/>
      <c r="AL475" s="35"/>
      <c r="AV475" s="35"/>
      <c r="AW475" s="35"/>
      <c r="AX475" s="35"/>
      <c r="AY475" s="36"/>
      <c r="BF475" s="35"/>
      <c r="BG475" s="35"/>
      <c r="BO475" s="35"/>
      <c r="BP475" s="35"/>
      <c r="BW475" s="36"/>
      <c r="BX475" s="36"/>
      <c r="BY475" s="36"/>
      <c r="BZ475" s="36"/>
      <c r="CY475" s="33"/>
    </row>
    <row r="476" spans="2:103" s="32" customFormat="1" x14ac:dyDescent="0.15">
      <c r="B476" s="33"/>
      <c r="E476" s="35"/>
      <c r="H476" s="33"/>
      <c r="N476" s="114"/>
      <c r="O476" s="34"/>
      <c r="P476" s="33"/>
      <c r="Q476" s="33"/>
      <c r="AA476" s="33"/>
      <c r="AB476" s="33"/>
      <c r="AC476" s="33"/>
      <c r="AD476" s="139"/>
      <c r="AE476" s="33"/>
      <c r="AL476" s="35"/>
      <c r="AV476" s="35"/>
      <c r="AW476" s="35"/>
      <c r="AX476" s="35"/>
      <c r="AY476" s="36"/>
      <c r="BF476" s="35"/>
      <c r="BG476" s="35"/>
      <c r="BO476" s="35"/>
      <c r="BP476" s="35"/>
      <c r="BW476" s="36"/>
      <c r="BX476" s="36"/>
      <c r="BY476" s="36"/>
      <c r="BZ476" s="36"/>
      <c r="CY476" s="33"/>
    </row>
    <row r="477" spans="2:103" s="32" customFormat="1" x14ac:dyDescent="0.15">
      <c r="B477" s="33"/>
      <c r="E477" s="35"/>
      <c r="H477" s="33"/>
      <c r="N477" s="114"/>
      <c r="O477" s="34"/>
      <c r="P477" s="33"/>
      <c r="Q477" s="33"/>
      <c r="AA477" s="33"/>
      <c r="AB477" s="33"/>
      <c r="AC477" s="33"/>
      <c r="AD477" s="139"/>
      <c r="AE477" s="33"/>
      <c r="AL477" s="35"/>
      <c r="AV477" s="35"/>
      <c r="AW477" s="35"/>
      <c r="AX477" s="35"/>
      <c r="AY477" s="36"/>
      <c r="BF477" s="35"/>
      <c r="BG477" s="35"/>
      <c r="BO477" s="35"/>
      <c r="BP477" s="35"/>
      <c r="BW477" s="36"/>
      <c r="BX477" s="36"/>
      <c r="BY477" s="36"/>
      <c r="BZ477" s="36"/>
      <c r="CY477" s="33"/>
    </row>
    <row r="478" spans="2:103" s="32" customFormat="1" x14ac:dyDescent="0.15">
      <c r="B478" s="33"/>
      <c r="E478" s="35"/>
      <c r="H478" s="33"/>
      <c r="N478" s="114"/>
      <c r="O478" s="34"/>
      <c r="P478" s="33"/>
      <c r="Q478" s="33"/>
      <c r="AA478" s="33"/>
      <c r="AB478" s="33"/>
      <c r="AC478" s="33"/>
      <c r="AD478" s="139"/>
      <c r="AE478" s="33"/>
      <c r="AL478" s="35"/>
      <c r="AV478" s="35"/>
      <c r="AW478" s="35"/>
      <c r="AX478" s="35"/>
      <c r="AY478" s="36"/>
      <c r="BF478" s="35"/>
      <c r="BG478" s="35"/>
      <c r="BO478" s="35"/>
      <c r="BP478" s="35"/>
      <c r="BW478" s="36"/>
      <c r="BX478" s="36"/>
      <c r="BY478" s="36"/>
      <c r="BZ478" s="36"/>
      <c r="CY478" s="33"/>
    </row>
    <row r="479" spans="2:103" s="32" customFormat="1" x14ac:dyDescent="0.15">
      <c r="B479" s="33"/>
      <c r="E479" s="35"/>
      <c r="H479" s="33"/>
      <c r="N479" s="114"/>
      <c r="O479" s="34"/>
      <c r="P479" s="33"/>
      <c r="Q479" s="33"/>
      <c r="AA479" s="33"/>
      <c r="AB479" s="33"/>
      <c r="AC479" s="33"/>
      <c r="AD479" s="139"/>
      <c r="AE479" s="33"/>
      <c r="AL479" s="35"/>
      <c r="AV479" s="35"/>
      <c r="AW479" s="35"/>
      <c r="AX479" s="35"/>
      <c r="AY479" s="36"/>
      <c r="BF479" s="35"/>
      <c r="BG479" s="35"/>
      <c r="BO479" s="35"/>
      <c r="BP479" s="35"/>
      <c r="BW479" s="36"/>
      <c r="BX479" s="36"/>
      <c r="BY479" s="36"/>
      <c r="BZ479" s="36"/>
      <c r="CY479" s="33"/>
    </row>
    <row r="480" spans="2:103" s="32" customFormat="1" x14ac:dyDescent="0.15">
      <c r="B480" s="33"/>
      <c r="E480" s="35"/>
      <c r="H480" s="33"/>
      <c r="N480" s="114"/>
      <c r="O480" s="34"/>
      <c r="P480" s="33"/>
      <c r="Q480" s="33"/>
      <c r="AA480" s="33"/>
      <c r="AB480" s="33"/>
      <c r="AC480" s="33"/>
      <c r="AD480" s="139"/>
      <c r="AE480" s="33"/>
      <c r="AL480" s="35"/>
      <c r="AV480" s="35"/>
      <c r="AW480" s="35"/>
      <c r="AX480" s="35"/>
      <c r="AY480" s="36"/>
      <c r="BF480" s="35"/>
      <c r="BG480" s="35"/>
      <c r="BO480" s="35"/>
      <c r="BP480" s="35"/>
      <c r="BW480" s="36"/>
      <c r="BX480" s="36"/>
      <c r="BY480" s="36"/>
      <c r="BZ480" s="36"/>
      <c r="CY480" s="33"/>
    </row>
    <row r="481" spans="2:103" s="32" customFormat="1" x14ac:dyDescent="0.15">
      <c r="B481" s="33"/>
      <c r="E481" s="35"/>
      <c r="H481" s="33"/>
      <c r="N481" s="114"/>
      <c r="O481" s="34"/>
      <c r="P481" s="33"/>
      <c r="Q481" s="33"/>
      <c r="AA481" s="33"/>
      <c r="AB481" s="33"/>
      <c r="AC481" s="33"/>
      <c r="AD481" s="139"/>
      <c r="AE481" s="33"/>
      <c r="AL481" s="35"/>
      <c r="AV481" s="35"/>
      <c r="AW481" s="35"/>
      <c r="AX481" s="35"/>
      <c r="AY481" s="36"/>
      <c r="BF481" s="35"/>
      <c r="BG481" s="35"/>
      <c r="BO481" s="35"/>
      <c r="BP481" s="35"/>
      <c r="BW481" s="36"/>
      <c r="BX481" s="36"/>
      <c r="BY481" s="36"/>
      <c r="BZ481" s="36"/>
      <c r="CY481" s="33"/>
    </row>
    <row r="482" spans="2:103" s="32" customFormat="1" x14ac:dyDescent="0.15">
      <c r="B482" s="33"/>
      <c r="E482" s="35"/>
      <c r="H482" s="33"/>
      <c r="N482" s="114"/>
      <c r="O482" s="34"/>
      <c r="P482" s="33"/>
      <c r="Q482" s="33"/>
      <c r="AA482" s="33"/>
      <c r="AB482" s="33"/>
      <c r="AC482" s="33"/>
      <c r="AD482" s="139"/>
      <c r="AE482" s="33"/>
      <c r="AL482" s="35"/>
      <c r="AV482" s="35"/>
      <c r="AW482" s="35"/>
      <c r="AX482" s="35"/>
      <c r="AY482" s="36"/>
      <c r="BF482" s="35"/>
      <c r="BG482" s="35"/>
      <c r="BO482" s="35"/>
      <c r="BP482" s="35"/>
      <c r="BW482" s="36"/>
      <c r="BX482" s="36"/>
      <c r="BY482" s="36"/>
      <c r="BZ482" s="36"/>
      <c r="CY482" s="33"/>
    </row>
    <row r="483" spans="2:103" s="32" customFormat="1" x14ac:dyDescent="0.15">
      <c r="B483" s="33"/>
      <c r="E483" s="35"/>
      <c r="H483" s="33"/>
      <c r="N483" s="114"/>
      <c r="O483" s="34"/>
      <c r="P483" s="33"/>
      <c r="Q483" s="33"/>
      <c r="AA483" s="33"/>
      <c r="AB483" s="33"/>
      <c r="AC483" s="33"/>
      <c r="AD483" s="139"/>
      <c r="AE483" s="33"/>
      <c r="AL483" s="35"/>
      <c r="AV483" s="35"/>
      <c r="AW483" s="35"/>
      <c r="AX483" s="35"/>
      <c r="AY483" s="36"/>
      <c r="BF483" s="35"/>
      <c r="BG483" s="35"/>
      <c r="BO483" s="35"/>
      <c r="BP483" s="35"/>
      <c r="BW483" s="36"/>
      <c r="BX483" s="36"/>
      <c r="BY483" s="36"/>
      <c r="BZ483" s="36"/>
      <c r="CY483" s="33"/>
    </row>
    <row r="484" spans="2:103" s="32" customFormat="1" x14ac:dyDescent="0.15">
      <c r="B484" s="33"/>
      <c r="E484" s="35"/>
      <c r="H484" s="33"/>
      <c r="N484" s="114"/>
      <c r="O484" s="34"/>
      <c r="P484" s="33"/>
      <c r="Q484" s="33"/>
      <c r="AA484" s="33"/>
      <c r="AB484" s="33"/>
      <c r="AC484" s="33"/>
      <c r="AD484" s="139"/>
      <c r="AE484" s="33"/>
      <c r="AL484" s="35"/>
      <c r="AV484" s="35"/>
      <c r="AW484" s="35"/>
      <c r="AX484" s="35"/>
      <c r="AY484" s="36"/>
      <c r="BF484" s="35"/>
      <c r="BG484" s="35"/>
      <c r="BO484" s="35"/>
      <c r="BP484" s="35"/>
      <c r="BW484" s="36"/>
      <c r="BX484" s="36"/>
      <c r="BY484" s="36"/>
      <c r="BZ484" s="36"/>
      <c r="CY484" s="33"/>
    </row>
    <row r="485" spans="2:103" s="32" customFormat="1" x14ac:dyDescent="0.15">
      <c r="B485" s="33"/>
      <c r="E485" s="35"/>
      <c r="H485" s="33"/>
      <c r="N485" s="114"/>
      <c r="O485" s="34"/>
      <c r="P485" s="33"/>
      <c r="Q485" s="33"/>
      <c r="AA485" s="33"/>
      <c r="AB485" s="33"/>
      <c r="AC485" s="33"/>
      <c r="AD485" s="139"/>
      <c r="AE485" s="33"/>
      <c r="AL485" s="35"/>
      <c r="AV485" s="35"/>
      <c r="AW485" s="35"/>
      <c r="AX485" s="35"/>
      <c r="AY485" s="36"/>
      <c r="BF485" s="35"/>
      <c r="BG485" s="35"/>
      <c r="BO485" s="35"/>
      <c r="BP485" s="35"/>
      <c r="BW485" s="36"/>
      <c r="BX485" s="36"/>
      <c r="BY485" s="36"/>
      <c r="BZ485" s="36"/>
      <c r="CY485" s="33"/>
    </row>
    <row r="486" spans="2:103" s="32" customFormat="1" x14ac:dyDescent="0.15">
      <c r="B486" s="33"/>
      <c r="E486" s="35"/>
      <c r="H486" s="33"/>
      <c r="N486" s="114"/>
      <c r="O486" s="34"/>
      <c r="P486" s="33"/>
      <c r="Q486" s="33"/>
      <c r="AA486" s="33"/>
      <c r="AB486" s="33"/>
      <c r="AC486" s="33"/>
      <c r="AD486" s="139"/>
      <c r="AE486" s="33"/>
      <c r="AL486" s="35"/>
      <c r="AV486" s="35"/>
      <c r="AW486" s="35"/>
      <c r="AX486" s="35"/>
      <c r="AY486" s="36"/>
      <c r="BF486" s="35"/>
      <c r="BG486" s="35"/>
      <c r="BO486" s="35"/>
      <c r="BP486" s="35"/>
      <c r="BW486" s="36"/>
      <c r="BX486" s="36"/>
      <c r="BY486" s="36"/>
      <c r="BZ486" s="36"/>
      <c r="CY486" s="33"/>
    </row>
    <row r="487" spans="2:103" s="32" customFormat="1" x14ac:dyDescent="0.15">
      <c r="B487" s="33"/>
      <c r="E487" s="35"/>
      <c r="H487" s="33"/>
      <c r="N487" s="114"/>
      <c r="O487" s="34"/>
      <c r="P487" s="33"/>
      <c r="Q487" s="33"/>
      <c r="AA487" s="33"/>
      <c r="AB487" s="33"/>
      <c r="AC487" s="33"/>
      <c r="AD487" s="139"/>
      <c r="AE487" s="33"/>
      <c r="AL487" s="35"/>
      <c r="AV487" s="35"/>
      <c r="AW487" s="35"/>
      <c r="AX487" s="35"/>
      <c r="AY487" s="36"/>
      <c r="BF487" s="35"/>
      <c r="BG487" s="35"/>
      <c r="BO487" s="35"/>
      <c r="BP487" s="35"/>
      <c r="BW487" s="36"/>
      <c r="BX487" s="36"/>
      <c r="BY487" s="36"/>
      <c r="BZ487" s="36"/>
      <c r="CY487" s="33"/>
    </row>
    <row r="488" spans="2:103" s="32" customFormat="1" x14ac:dyDescent="0.15">
      <c r="B488" s="33"/>
      <c r="E488" s="35"/>
      <c r="H488" s="33"/>
      <c r="N488" s="114"/>
      <c r="O488" s="34"/>
      <c r="P488" s="33"/>
      <c r="Q488" s="33"/>
      <c r="AA488" s="33"/>
      <c r="AB488" s="33"/>
      <c r="AC488" s="33"/>
      <c r="AD488" s="139"/>
      <c r="AE488" s="33"/>
      <c r="AL488" s="35"/>
      <c r="AV488" s="35"/>
      <c r="AW488" s="35"/>
      <c r="AX488" s="35"/>
      <c r="AY488" s="36"/>
      <c r="BF488" s="35"/>
      <c r="BG488" s="35"/>
      <c r="BO488" s="35"/>
      <c r="BP488" s="35"/>
      <c r="BW488" s="36"/>
      <c r="BX488" s="36"/>
      <c r="BY488" s="36"/>
      <c r="BZ488" s="36"/>
      <c r="CY488" s="33"/>
    </row>
    <row r="489" spans="2:103" s="32" customFormat="1" x14ac:dyDescent="0.15">
      <c r="B489" s="33"/>
      <c r="E489" s="35"/>
      <c r="H489" s="33"/>
      <c r="N489" s="114"/>
      <c r="O489" s="34"/>
      <c r="P489" s="33"/>
      <c r="Q489" s="33"/>
      <c r="AA489" s="33"/>
      <c r="AB489" s="33"/>
      <c r="AC489" s="33"/>
      <c r="AD489" s="139"/>
      <c r="AE489" s="33"/>
      <c r="AL489" s="35"/>
      <c r="AV489" s="35"/>
      <c r="AW489" s="35"/>
      <c r="AX489" s="35"/>
      <c r="AY489" s="36"/>
      <c r="BF489" s="35"/>
      <c r="BG489" s="35"/>
      <c r="BO489" s="35"/>
      <c r="BP489" s="35"/>
      <c r="BW489" s="36"/>
      <c r="BX489" s="36"/>
      <c r="BY489" s="36"/>
      <c r="BZ489" s="36"/>
      <c r="CY489" s="33"/>
    </row>
    <row r="490" spans="2:103" s="32" customFormat="1" x14ac:dyDescent="0.15">
      <c r="B490" s="33"/>
      <c r="E490" s="35"/>
      <c r="H490" s="33"/>
      <c r="N490" s="114"/>
      <c r="O490" s="34"/>
      <c r="P490" s="33"/>
      <c r="Q490" s="33"/>
      <c r="AA490" s="33"/>
      <c r="AB490" s="33"/>
      <c r="AC490" s="33"/>
      <c r="AD490" s="139"/>
      <c r="AE490" s="33"/>
      <c r="AL490" s="35"/>
      <c r="AV490" s="35"/>
      <c r="AW490" s="35"/>
      <c r="AX490" s="35"/>
      <c r="AY490" s="36"/>
      <c r="BF490" s="35"/>
      <c r="BG490" s="35"/>
      <c r="BO490" s="35"/>
      <c r="BP490" s="35"/>
      <c r="BW490" s="36"/>
      <c r="BX490" s="36"/>
      <c r="BY490" s="36"/>
      <c r="BZ490" s="36"/>
      <c r="CY490" s="33"/>
    </row>
    <row r="491" spans="2:103" s="32" customFormat="1" x14ac:dyDescent="0.15">
      <c r="B491" s="33"/>
      <c r="E491" s="35"/>
      <c r="H491" s="33"/>
      <c r="N491" s="114"/>
      <c r="O491" s="34"/>
      <c r="P491" s="33"/>
      <c r="Q491" s="33"/>
      <c r="AA491" s="33"/>
      <c r="AB491" s="33"/>
      <c r="AC491" s="33"/>
      <c r="AD491" s="139"/>
      <c r="AE491" s="33"/>
      <c r="AL491" s="35"/>
      <c r="AV491" s="35"/>
      <c r="AW491" s="35"/>
      <c r="AX491" s="35"/>
      <c r="AY491" s="36"/>
      <c r="BF491" s="35"/>
      <c r="BG491" s="35"/>
      <c r="BO491" s="35"/>
      <c r="BP491" s="35"/>
      <c r="BW491" s="36"/>
      <c r="BX491" s="36"/>
      <c r="BY491" s="36"/>
      <c r="BZ491" s="36"/>
      <c r="CY491" s="33"/>
    </row>
    <row r="492" spans="2:103" s="32" customFormat="1" x14ac:dyDescent="0.15">
      <c r="B492" s="33"/>
      <c r="E492" s="35"/>
      <c r="H492" s="33"/>
      <c r="N492" s="114"/>
      <c r="O492" s="34"/>
      <c r="P492" s="33"/>
      <c r="Q492" s="33"/>
      <c r="AA492" s="33"/>
      <c r="AB492" s="33"/>
      <c r="AC492" s="33"/>
      <c r="AD492" s="139"/>
      <c r="AE492" s="33"/>
      <c r="AL492" s="35"/>
      <c r="AV492" s="35"/>
      <c r="AW492" s="35"/>
      <c r="AX492" s="35"/>
      <c r="AY492" s="36"/>
      <c r="BF492" s="35"/>
      <c r="BG492" s="35"/>
      <c r="BO492" s="35"/>
      <c r="BP492" s="35"/>
      <c r="BW492" s="36"/>
      <c r="BX492" s="36"/>
      <c r="BY492" s="36"/>
      <c r="BZ492" s="36"/>
      <c r="CY492" s="33"/>
    </row>
    <row r="493" spans="2:103" s="32" customFormat="1" x14ac:dyDescent="0.15">
      <c r="B493" s="33"/>
      <c r="E493" s="35"/>
      <c r="H493" s="33"/>
      <c r="N493" s="114"/>
      <c r="O493" s="34"/>
      <c r="P493" s="33"/>
      <c r="Q493" s="33"/>
      <c r="AA493" s="33"/>
      <c r="AB493" s="33"/>
      <c r="AC493" s="33"/>
      <c r="AD493" s="139"/>
      <c r="AE493" s="33"/>
      <c r="AL493" s="35"/>
      <c r="AV493" s="35"/>
      <c r="AW493" s="35"/>
      <c r="AX493" s="35"/>
      <c r="AY493" s="36"/>
      <c r="BF493" s="35"/>
      <c r="BG493" s="35"/>
      <c r="BO493" s="35"/>
      <c r="BP493" s="35"/>
      <c r="BW493" s="36"/>
      <c r="BX493" s="36"/>
      <c r="BY493" s="36"/>
      <c r="BZ493" s="36"/>
      <c r="CY493" s="33"/>
    </row>
    <row r="494" spans="2:103" s="32" customFormat="1" x14ac:dyDescent="0.15">
      <c r="B494" s="33"/>
      <c r="E494" s="35"/>
      <c r="H494" s="33"/>
      <c r="N494" s="114"/>
      <c r="O494" s="34"/>
      <c r="P494" s="33"/>
      <c r="Q494" s="33"/>
      <c r="AA494" s="33"/>
      <c r="AB494" s="33"/>
      <c r="AC494" s="33"/>
      <c r="AD494" s="139"/>
      <c r="AE494" s="33"/>
      <c r="AL494" s="35"/>
      <c r="AV494" s="35"/>
      <c r="AW494" s="35"/>
      <c r="AX494" s="35"/>
      <c r="AY494" s="36"/>
      <c r="BF494" s="35"/>
      <c r="BG494" s="35"/>
      <c r="BO494" s="35"/>
      <c r="BP494" s="35"/>
      <c r="BW494" s="36"/>
      <c r="BX494" s="36"/>
      <c r="BY494" s="36"/>
      <c r="BZ494" s="36"/>
      <c r="CY494" s="33"/>
    </row>
    <row r="495" spans="2:103" s="32" customFormat="1" x14ac:dyDescent="0.15">
      <c r="B495" s="33"/>
      <c r="E495" s="35"/>
      <c r="H495" s="33"/>
      <c r="N495" s="114"/>
      <c r="O495" s="34"/>
      <c r="P495" s="33"/>
      <c r="Q495" s="33"/>
      <c r="AA495" s="33"/>
      <c r="AB495" s="33"/>
      <c r="AC495" s="33"/>
      <c r="AD495" s="139"/>
      <c r="AE495" s="33"/>
      <c r="AL495" s="35"/>
      <c r="AV495" s="35"/>
      <c r="AW495" s="35"/>
      <c r="AX495" s="35"/>
      <c r="AY495" s="36"/>
      <c r="BF495" s="35"/>
      <c r="BG495" s="35"/>
      <c r="BO495" s="35"/>
      <c r="BP495" s="35"/>
      <c r="BW495" s="36"/>
      <c r="BX495" s="36"/>
      <c r="BY495" s="36"/>
      <c r="BZ495" s="36"/>
      <c r="CY495" s="33"/>
    </row>
    <row r="496" spans="2:103" s="32" customFormat="1" x14ac:dyDescent="0.15">
      <c r="B496" s="33"/>
      <c r="E496" s="35"/>
      <c r="H496" s="33"/>
      <c r="N496" s="114"/>
      <c r="O496" s="34"/>
      <c r="P496" s="33"/>
      <c r="Q496" s="33"/>
      <c r="AA496" s="33"/>
      <c r="AB496" s="33"/>
      <c r="AC496" s="33"/>
      <c r="AD496" s="139"/>
      <c r="AE496" s="33"/>
      <c r="AL496" s="35"/>
      <c r="AV496" s="35"/>
      <c r="AW496" s="35"/>
      <c r="AX496" s="35"/>
      <c r="AY496" s="36"/>
      <c r="BF496" s="35"/>
      <c r="BG496" s="35"/>
      <c r="BO496" s="35"/>
      <c r="BP496" s="35"/>
      <c r="BW496" s="36"/>
      <c r="BX496" s="36"/>
      <c r="BY496" s="36"/>
      <c r="BZ496" s="36"/>
      <c r="CY496" s="33"/>
    </row>
    <row r="497" spans="2:103" s="32" customFormat="1" x14ac:dyDescent="0.15">
      <c r="B497" s="33"/>
      <c r="E497" s="35"/>
      <c r="H497" s="33"/>
      <c r="N497" s="114"/>
      <c r="O497" s="34"/>
      <c r="P497" s="33"/>
      <c r="Q497" s="33"/>
      <c r="AA497" s="33"/>
      <c r="AB497" s="33"/>
      <c r="AC497" s="33"/>
      <c r="AD497" s="139"/>
      <c r="AE497" s="33"/>
      <c r="AL497" s="35"/>
      <c r="AV497" s="35"/>
      <c r="AW497" s="35"/>
      <c r="AX497" s="35"/>
      <c r="AY497" s="36"/>
      <c r="BF497" s="35"/>
      <c r="BG497" s="35"/>
      <c r="BO497" s="35"/>
      <c r="BP497" s="35"/>
      <c r="BW497" s="36"/>
      <c r="BX497" s="36"/>
      <c r="BY497" s="36"/>
      <c r="BZ497" s="36"/>
      <c r="CY497" s="33"/>
    </row>
    <row r="498" spans="2:103" s="32" customFormat="1" x14ac:dyDescent="0.15">
      <c r="B498" s="33"/>
      <c r="E498" s="35"/>
      <c r="H498" s="33"/>
      <c r="N498" s="114"/>
      <c r="O498" s="34"/>
      <c r="P498" s="33"/>
      <c r="Q498" s="33"/>
      <c r="AA498" s="33"/>
      <c r="AB498" s="33"/>
      <c r="AC498" s="33"/>
      <c r="AD498" s="139"/>
      <c r="AE498" s="33"/>
      <c r="AL498" s="35"/>
      <c r="AV498" s="35"/>
      <c r="AW498" s="35"/>
      <c r="AX498" s="35"/>
      <c r="AY498" s="36"/>
      <c r="BF498" s="35"/>
      <c r="BG498" s="35"/>
      <c r="BO498" s="35"/>
      <c r="BP498" s="35"/>
      <c r="BW498" s="36"/>
      <c r="BX498" s="36"/>
      <c r="BY498" s="36"/>
      <c r="BZ498" s="36"/>
      <c r="CY498" s="33"/>
    </row>
    <row r="499" spans="2:103" s="32" customFormat="1" x14ac:dyDescent="0.15">
      <c r="B499" s="33"/>
      <c r="E499" s="35"/>
      <c r="H499" s="33"/>
      <c r="N499" s="114"/>
      <c r="O499" s="34"/>
      <c r="P499" s="33"/>
      <c r="Q499" s="33"/>
      <c r="AA499" s="33"/>
      <c r="AB499" s="33"/>
      <c r="AC499" s="33"/>
      <c r="AD499" s="139"/>
      <c r="AE499" s="33"/>
      <c r="AL499" s="35"/>
      <c r="AV499" s="35"/>
      <c r="AW499" s="35"/>
      <c r="AX499" s="35"/>
      <c r="AY499" s="36"/>
      <c r="BF499" s="35"/>
      <c r="BG499" s="35"/>
      <c r="BO499" s="35"/>
      <c r="BP499" s="35"/>
      <c r="BW499" s="36"/>
      <c r="BX499" s="36"/>
      <c r="BY499" s="36"/>
      <c r="BZ499" s="36"/>
      <c r="CY499" s="33"/>
    </row>
    <row r="500" spans="2:103" s="32" customFormat="1" x14ac:dyDescent="0.15">
      <c r="B500" s="33"/>
      <c r="E500" s="35"/>
      <c r="H500" s="33"/>
      <c r="N500" s="114"/>
      <c r="O500" s="34"/>
      <c r="P500" s="33"/>
      <c r="Q500" s="33"/>
      <c r="AA500" s="33"/>
      <c r="AB500" s="33"/>
      <c r="AC500" s="33"/>
      <c r="AD500" s="139"/>
      <c r="AE500" s="33"/>
      <c r="AL500" s="35"/>
      <c r="AV500" s="35"/>
      <c r="AW500" s="35"/>
      <c r="AX500" s="35"/>
      <c r="AY500" s="36"/>
      <c r="BF500" s="35"/>
      <c r="BG500" s="35"/>
      <c r="BO500" s="35"/>
      <c r="BP500" s="35"/>
      <c r="BW500" s="36"/>
      <c r="BX500" s="36"/>
      <c r="BY500" s="36"/>
      <c r="BZ500" s="36"/>
      <c r="CY500" s="33"/>
    </row>
    <row r="501" spans="2:103" s="32" customFormat="1" x14ac:dyDescent="0.15">
      <c r="B501" s="33"/>
      <c r="E501" s="35"/>
      <c r="H501" s="33"/>
      <c r="N501" s="114"/>
      <c r="O501" s="34"/>
      <c r="P501" s="33"/>
      <c r="Q501" s="33"/>
      <c r="AA501" s="33"/>
      <c r="AB501" s="33"/>
      <c r="AC501" s="33"/>
      <c r="AD501" s="139"/>
      <c r="AE501" s="33"/>
      <c r="AL501" s="35"/>
      <c r="AV501" s="35"/>
      <c r="AW501" s="35"/>
      <c r="AX501" s="35"/>
      <c r="AY501" s="36"/>
      <c r="BF501" s="35"/>
      <c r="BG501" s="35"/>
      <c r="BO501" s="35"/>
      <c r="BP501" s="35"/>
      <c r="BW501" s="36"/>
      <c r="BX501" s="36"/>
      <c r="BY501" s="36"/>
      <c r="BZ501" s="36"/>
      <c r="CY501" s="33"/>
    </row>
    <row r="502" spans="2:103" s="32" customFormat="1" x14ac:dyDescent="0.15">
      <c r="B502" s="33"/>
      <c r="E502" s="35"/>
      <c r="H502" s="33"/>
      <c r="N502" s="114"/>
      <c r="O502" s="34"/>
      <c r="P502" s="33"/>
      <c r="Q502" s="33"/>
      <c r="AA502" s="33"/>
      <c r="AB502" s="33"/>
      <c r="AC502" s="33"/>
      <c r="AD502" s="139"/>
      <c r="AE502" s="33"/>
      <c r="AL502" s="35"/>
      <c r="AV502" s="35"/>
      <c r="AW502" s="35"/>
      <c r="AX502" s="35"/>
      <c r="AY502" s="36"/>
      <c r="BF502" s="35"/>
      <c r="BG502" s="35"/>
      <c r="BO502" s="35"/>
      <c r="BP502" s="35"/>
      <c r="BW502" s="36"/>
      <c r="BX502" s="36"/>
      <c r="BY502" s="36"/>
      <c r="BZ502" s="36"/>
      <c r="CY502" s="33"/>
    </row>
    <row r="503" spans="2:103" s="32" customFormat="1" x14ac:dyDescent="0.15">
      <c r="B503" s="33"/>
      <c r="E503" s="35"/>
      <c r="H503" s="33"/>
      <c r="N503" s="114"/>
      <c r="O503" s="34"/>
      <c r="P503" s="33"/>
      <c r="Q503" s="33"/>
      <c r="AA503" s="33"/>
      <c r="AB503" s="33"/>
      <c r="AC503" s="33"/>
      <c r="AD503" s="139"/>
      <c r="AE503" s="33"/>
      <c r="AL503" s="35"/>
      <c r="AV503" s="35"/>
      <c r="AW503" s="35"/>
      <c r="AX503" s="35"/>
      <c r="AY503" s="36"/>
      <c r="BF503" s="35"/>
      <c r="BG503" s="35"/>
      <c r="BO503" s="35"/>
      <c r="BP503" s="35"/>
      <c r="BW503" s="36"/>
      <c r="BX503" s="36"/>
      <c r="BY503" s="36"/>
      <c r="BZ503" s="36"/>
      <c r="CY503" s="33"/>
    </row>
    <row r="504" spans="2:103" s="32" customFormat="1" x14ac:dyDescent="0.15">
      <c r="B504" s="33"/>
      <c r="E504" s="35"/>
      <c r="H504" s="33"/>
      <c r="N504" s="114"/>
      <c r="O504" s="34"/>
      <c r="P504" s="33"/>
      <c r="Q504" s="33"/>
      <c r="AA504" s="33"/>
      <c r="AB504" s="33"/>
      <c r="AC504" s="33"/>
      <c r="AD504" s="139"/>
      <c r="AE504" s="33"/>
      <c r="AL504" s="35"/>
      <c r="AV504" s="35"/>
      <c r="AW504" s="35"/>
      <c r="AX504" s="35"/>
      <c r="AY504" s="36"/>
      <c r="BF504" s="35"/>
      <c r="BG504" s="35"/>
      <c r="BO504" s="35"/>
      <c r="BP504" s="35"/>
      <c r="BW504" s="36"/>
      <c r="BX504" s="36"/>
      <c r="BY504" s="36"/>
      <c r="BZ504" s="36"/>
      <c r="CY504" s="33"/>
    </row>
    <row r="505" spans="2:103" s="32" customFormat="1" x14ac:dyDescent="0.15">
      <c r="B505" s="33"/>
      <c r="E505" s="35"/>
      <c r="H505" s="33"/>
      <c r="N505" s="114"/>
      <c r="O505" s="34"/>
      <c r="P505" s="33"/>
      <c r="Q505" s="33"/>
      <c r="AA505" s="33"/>
      <c r="AB505" s="33"/>
      <c r="AC505" s="33"/>
      <c r="AD505" s="139"/>
      <c r="AE505" s="33"/>
      <c r="AL505" s="35"/>
      <c r="AV505" s="35"/>
      <c r="AW505" s="35"/>
      <c r="AX505" s="35"/>
      <c r="AY505" s="36"/>
      <c r="BF505" s="35"/>
      <c r="BG505" s="35"/>
      <c r="BO505" s="35"/>
      <c r="BP505" s="35"/>
      <c r="BW505" s="36"/>
      <c r="BX505" s="36"/>
      <c r="BY505" s="36"/>
      <c r="BZ505" s="36"/>
      <c r="CY505" s="33"/>
    </row>
    <row r="506" spans="2:103" s="32" customFormat="1" x14ac:dyDescent="0.15">
      <c r="B506" s="33"/>
      <c r="E506" s="35"/>
      <c r="H506" s="33"/>
      <c r="N506" s="114"/>
      <c r="O506" s="34"/>
      <c r="P506" s="33"/>
      <c r="Q506" s="33"/>
      <c r="AA506" s="33"/>
      <c r="AB506" s="33"/>
      <c r="AC506" s="33"/>
      <c r="AD506" s="139"/>
      <c r="AE506" s="33"/>
      <c r="AL506" s="35"/>
      <c r="AV506" s="35"/>
      <c r="AW506" s="35"/>
      <c r="AX506" s="35"/>
      <c r="AY506" s="36"/>
      <c r="BF506" s="35"/>
      <c r="BG506" s="35"/>
      <c r="BO506" s="35"/>
      <c r="BP506" s="35"/>
      <c r="BW506" s="36"/>
      <c r="BX506" s="36"/>
      <c r="BY506" s="36"/>
      <c r="BZ506" s="36"/>
      <c r="CY506" s="33"/>
    </row>
    <row r="507" spans="2:103" s="32" customFormat="1" x14ac:dyDescent="0.15">
      <c r="B507" s="33"/>
      <c r="E507" s="35"/>
      <c r="H507" s="33"/>
      <c r="N507" s="114"/>
      <c r="O507" s="34"/>
      <c r="P507" s="33"/>
      <c r="Q507" s="33"/>
      <c r="AA507" s="33"/>
      <c r="AB507" s="33"/>
      <c r="AC507" s="33"/>
      <c r="AD507" s="139"/>
      <c r="AE507" s="33"/>
      <c r="AL507" s="35"/>
      <c r="AV507" s="35"/>
      <c r="AW507" s="35"/>
      <c r="AX507" s="35"/>
      <c r="AY507" s="36"/>
      <c r="BF507" s="35"/>
      <c r="BG507" s="35"/>
      <c r="BO507" s="35"/>
      <c r="BP507" s="35"/>
      <c r="BW507" s="36"/>
      <c r="BX507" s="36"/>
      <c r="BY507" s="36"/>
      <c r="BZ507" s="36"/>
      <c r="CY507" s="33"/>
    </row>
    <row r="508" spans="2:103" s="32" customFormat="1" x14ac:dyDescent="0.15">
      <c r="B508" s="33"/>
      <c r="E508" s="35"/>
      <c r="H508" s="33"/>
      <c r="N508" s="114"/>
      <c r="O508" s="34"/>
      <c r="P508" s="33"/>
      <c r="Q508" s="33"/>
      <c r="AA508" s="33"/>
      <c r="AB508" s="33"/>
      <c r="AC508" s="33"/>
      <c r="AD508" s="139"/>
      <c r="AE508" s="33"/>
      <c r="AL508" s="35"/>
      <c r="AV508" s="35"/>
      <c r="AW508" s="35"/>
      <c r="AX508" s="35"/>
      <c r="AY508" s="36"/>
      <c r="BF508" s="35"/>
      <c r="BG508" s="35"/>
      <c r="BO508" s="35"/>
      <c r="BP508" s="35"/>
      <c r="BW508" s="36"/>
      <c r="BX508" s="36"/>
      <c r="BY508" s="36"/>
      <c r="BZ508" s="36"/>
      <c r="CY508" s="33"/>
    </row>
    <row r="509" spans="2:103" s="32" customFormat="1" x14ac:dyDescent="0.15">
      <c r="B509" s="33"/>
      <c r="E509" s="35"/>
      <c r="H509" s="33"/>
      <c r="N509" s="114"/>
      <c r="O509" s="34"/>
      <c r="P509" s="33"/>
      <c r="Q509" s="33"/>
      <c r="AA509" s="33"/>
      <c r="AB509" s="33"/>
      <c r="AC509" s="33"/>
      <c r="AD509" s="139"/>
      <c r="AE509" s="33"/>
      <c r="AL509" s="35"/>
      <c r="AV509" s="35"/>
      <c r="AW509" s="35"/>
      <c r="AX509" s="35"/>
      <c r="AY509" s="36"/>
      <c r="BF509" s="35"/>
      <c r="BG509" s="35"/>
      <c r="BO509" s="35"/>
      <c r="BP509" s="35"/>
      <c r="BW509" s="36"/>
      <c r="BX509" s="36"/>
      <c r="BY509" s="36"/>
      <c r="BZ509" s="36"/>
      <c r="CY509" s="33"/>
    </row>
    <row r="510" spans="2:103" s="32" customFormat="1" x14ac:dyDescent="0.15">
      <c r="B510" s="33"/>
      <c r="E510" s="35"/>
      <c r="H510" s="33"/>
      <c r="N510" s="114"/>
      <c r="O510" s="34"/>
      <c r="P510" s="33"/>
      <c r="Q510" s="33"/>
      <c r="AA510" s="33"/>
      <c r="AB510" s="33"/>
      <c r="AC510" s="33"/>
      <c r="AD510" s="139"/>
      <c r="AE510" s="33"/>
      <c r="AL510" s="35"/>
      <c r="AV510" s="35"/>
      <c r="AW510" s="35"/>
      <c r="AX510" s="35"/>
      <c r="AY510" s="36"/>
      <c r="BF510" s="35"/>
      <c r="BG510" s="35"/>
      <c r="BO510" s="35"/>
      <c r="BP510" s="35"/>
      <c r="BW510" s="36"/>
      <c r="BX510" s="36"/>
      <c r="BY510" s="36"/>
      <c r="BZ510" s="36"/>
      <c r="CY510" s="33"/>
    </row>
    <row r="511" spans="2:103" s="32" customFormat="1" x14ac:dyDescent="0.15">
      <c r="B511" s="33"/>
      <c r="E511" s="35"/>
      <c r="H511" s="33"/>
      <c r="N511" s="114"/>
      <c r="O511" s="34"/>
      <c r="P511" s="33"/>
      <c r="Q511" s="33"/>
      <c r="AA511" s="33"/>
      <c r="AB511" s="33"/>
      <c r="AC511" s="33"/>
      <c r="AD511" s="139"/>
      <c r="AE511" s="33"/>
      <c r="AL511" s="35"/>
      <c r="AV511" s="35"/>
      <c r="AW511" s="35"/>
      <c r="AX511" s="35"/>
      <c r="AY511" s="36"/>
      <c r="BF511" s="35"/>
      <c r="BG511" s="35"/>
      <c r="BO511" s="35"/>
      <c r="BP511" s="35"/>
      <c r="BW511" s="36"/>
      <c r="BX511" s="36"/>
      <c r="BY511" s="36"/>
      <c r="BZ511" s="36"/>
      <c r="CY511" s="33"/>
    </row>
    <row r="512" spans="2:103" s="32" customFormat="1" x14ac:dyDescent="0.15">
      <c r="B512" s="33"/>
      <c r="E512" s="35"/>
      <c r="H512" s="33"/>
      <c r="N512" s="114"/>
      <c r="O512" s="34"/>
      <c r="P512" s="33"/>
      <c r="Q512" s="33"/>
      <c r="AA512" s="33"/>
      <c r="AB512" s="33"/>
      <c r="AC512" s="33"/>
      <c r="AD512" s="139"/>
      <c r="AE512" s="33"/>
      <c r="AL512" s="35"/>
      <c r="AV512" s="35"/>
      <c r="AW512" s="35"/>
      <c r="AX512" s="35"/>
      <c r="AY512" s="36"/>
      <c r="BF512" s="35"/>
      <c r="BG512" s="35"/>
      <c r="BO512" s="35"/>
      <c r="BP512" s="35"/>
      <c r="BW512" s="36"/>
      <c r="BX512" s="36"/>
      <c r="BY512" s="36"/>
      <c r="BZ512" s="36"/>
      <c r="CY512" s="33"/>
    </row>
    <row r="513" spans="2:103" s="32" customFormat="1" x14ac:dyDescent="0.15">
      <c r="B513" s="33"/>
      <c r="E513" s="35"/>
      <c r="H513" s="33"/>
      <c r="N513" s="114"/>
      <c r="O513" s="34"/>
      <c r="P513" s="33"/>
      <c r="Q513" s="33"/>
      <c r="AA513" s="33"/>
      <c r="AB513" s="33"/>
      <c r="AC513" s="33"/>
      <c r="AD513" s="139"/>
      <c r="AE513" s="33"/>
      <c r="AL513" s="35"/>
      <c r="AV513" s="35"/>
      <c r="AW513" s="35"/>
      <c r="AX513" s="35"/>
      <c r="AY513" s="36"/>
      <c r="BF513" s="35"/>
      <c r="BG513" s="35"/>
      <c r="BO513" s="35"/>
      <c r="BP513" s="35"/>
      <c r="BW513" s="36"/>
      <c r="BX513" s="36"/>
      <c r="BY513" s="36"/>
      <c r="BZ513" s="36"/>
      <c r="CY513" s="33"/>
    </row>
    <row r="514" spans="2:103" s="32" customFormat="1" x14ac:dyDescent="0.15">
      <c r="B514" s="33"/>
      <c r="E514" s="35"/>
      <c r="H514" s="33"/>
      <c r="N514" s="114"/>
      <c r="O514" s="34"/>
      <c r="P514" s="33"/>
      <c r="Q514" s="33"/>
      <c r="AA514" s="33"/>
      <c r="AB514" s="33"/>
      <c r="AC514" s="33"/>
      <c r="AD514" s="139"/>
      <c r="AE514" s="33"/>
      <c r="AL514" s="35"/>
      <c r="AV514" s="35"/>
      <c r="AW514" s="35"/>
      <c r="AX514" s="35"/>
      <c r="AY514" s="36"/>
      <c r="BF514" s="35"/>
      <c r="BG514" s="35"/>
      <c r="BO514" s="35"/>
      <c r="BP514" s="35"/>
      <c r="BW514" s="36"/>
      <c r="BX514" s="36"/>
      <c r="BY514" s="36"/>
      <c r="BZ514" s="36"/>
      <c r="CY514" s="33"/>
    </row>
    <row r="515" spans="2:103" s="32" customFormat="1" x14ac:dyDescent="0.15">
      <c r="B515" s="33"/>
      <c r="E515" s="35"/>
      <c r="H515" s="33"/>
      <c r="N515" s="114"/>
      <c r="O515" s="34"/>
      <c r="P515" s="33"/>
      <c r="Q515" s="33"/>
      <c r="AA515" s="33"/>
      <c r="AB515" s="33"/>
      <c r="AC515" s="33"/>
      <c r="AD515" s="139"/>
      <c r="AE515" s="33"/>
      <c r="AL515" s="35"/>
      <c r="AV515" s="35"/>
      <c r="AW515" s="35"/>
      <c r="AX515" s="35"/>
      <c r="AY515" s="36"/>
      <c r="BF515" s="35"/>
      <c r="BG515" s="35"/>
      <c r="BO515" s="35"/>
      <c r="BP515" s="35"/>
      <c r="BW515" s="36"/>
      <c r="BX515" s="36"/>
      <c r="BY515" s="36"/>
      <c r="BZ515" s="36"/>
      <c r="CY515" s="33"/>
    </row>
    <row r="516" spans="2:103" s="32" customFormat="1" x14ac:dyDescent="0.15">
      <c r="B516" s="33"/>
      <c r="E516" s="35"/>
      <c r="H516" s="33"/>
      <c r="N516" s="114"/>
      <c r="O516" s="34"/>
      <c r="P516" s="33"/>
      <c r="Q516" s="33"/>
      <c r="AA516" s="33"/>
      <c r="AB516" s="33"/>
      <c r="AC516" s="33"/>
      <c r="AD516" s="139"/>
      <c r="AE516" s="33"/>
      <c r="AL516" s="35"/>
      <c r="AV516" s="35"/>
      <c r="AW516" s="35"/>
      <c r="AX516" s="35"/>
      <c r="AY516" s="36"/>
      <c r="BF516" s="35"/>
      <c r="BG516" s="35"/>
      <c r="BO516" s="35"/>
      <c r="BP516" s="35"/>
      <c r="BW516" s="36"/>
      <c r="BX516" s="36"/>
      <c r="BY516" s="36"/>
      <c r="BZ516" s="36"/>
      <c r="CY516" s="33"/>
    </row>
    <row r="517" spans="2:103" s="32" customFormat="1" x14ac:dyDescent="0.15">
      <c r="B517" s="33"/>
      <c r="E517" s="35"/>
      <c r="H517" s="33"/>
      <c r="N517" s="114"/>
      <c r="O517" s="34"/>
      <c r="P517" s="33"/>
      <c r="Q517" s="33"/>
      <c r="AA517" s="33"/>
      <c r="AB517" s="33"/>
      <c r="AC517" s="33"/>
      <c r="AD517" s="139"/>
      <c r="AE517" s="33"/>
      <c r="AL517" s="35"/>
      <c r="AV517" s="35"/>
      <c r="AW517" s="35"/>
      <c r="AX517" s="35"/>
      <c r="AY517" s="36"/>
      <c r="BF517" s="35"/>
      <c r="BG517" s="35"/>
      <c r="BO517" s="35"/>
      <c r="BP517" s="35"/>
      <c r="BW517" s="36"/>
      <c r="BX517" s="36"/>
      <c r="BY517" s="36"/>
      <c r="BZ517" s="36"/>
      <c r="CY517" s="33"/>
    </row>
    <row r="518" spans="2:103" s="32" customFormat="1" x14ac:dyDescent="0.15">
      <c r="B518" s="33"/>
      <c r="E518" s="35"/>
      <c r="H518" s="33"/>
      <c r="N518" s="114"/>
      <c r="O518" s="34"/>
      <c r="P518" s="33"/>
      <c r="Q518" s="33"/>
      <c r="AA518" s="33"/>
      <c r="AB518" s="33"/>
      <c r="AC518" s="33"/>
      <c r="AD518" s="139"/>
      <c r="AE518" s="33"/>
      <c r="AL518" s="35"/>
      <c r="AV518" s="35"/>
      <c r="AW518" s="35"/>
      <c r="AX518" s="35"/>
      <c r="AY518" s="36"/>
      <c r="BF518" s="35"/>
      <c r="BG518" s="35"/>
      <c r="BO518" s="35"/>
      <c r="BP518" s="35"/>
      <c r="BW518" s="36"/>
      <c r="BX518" s="36"/>
      <c r="BY518" s="36"/>
      <c r="BZ518" s="36"/>
      <c r="CY518" s="33"/>
    </row>
    <row r="519" spans="2:103" s="32" customFormat="1" x14ac:dyDescent="0.15">
      <c r="B519" s="33"/>
      <c r="E519" s="35"/>
      <c r="H519" s="33"/>
      <c r="N519" s="114"/>
      <c r="O519" s="34"/>
      <c r="P519" s="33"/>
      <c r="Q519" s="33"/>
      <c r="AA519" s="33"/>
      <c r="AB519" s="33"/>
      <c r="AC519" s="33"/>
      <c r="AD519" s="139"/>
      <c r="AE519" s="33"/>
      <c r="AL519" s="35"/>
      <c r="AV519" s="35"/>
      <c r="AW519" s="35"/>
      <c r="AX519" s="35"/>
      <c r="AY519" s="36"/>
      <c r="BF519" s="35"/>
      <c r="BG519" s="35"/>
      <c r="BO519" s="35"/>
      <c r="BP519" s="35"/>
      <c r="BW519" s="36"/>
      <c r="BX519" s="36"/>
      <c r="BY519" s="36"/>
      <c r="BZ519" s="36"/>
      <c r="CY519" s="33"/>
    </row>
    <row r="520" spans="2:103" s="32" customFormat="1" x14ac:dyDescent="0.15">
      <c r="B520" s="33"/>
      <c r="E520" s="35"/>
      <c r="H520" s="33"/>
      <c r="N520" s="114"/>
      <c r="O520" s="34"/>
      <c r="P520" s="33"/>
      <c r="Q520" s="33"/>
      <c r="AA520" s="33"/>
      <c r="AB520" s="33"/>
      <c r="AC520" s="33"/>
      <c r="AD520" s="139"/>
      <c r="AE520" s="33"/>
      <c r="AL520" s="35"/>
      <c r="AV520" s="35"/>
      <c r="AW520" s="35"/>
      <c r="AX520" s="35"/>
      <c r="AY520" s="36"/>
      <c r="BF520" s="35"/>
      <c r="BG520" s="35"/>
      <c r="BO520" s="35"/>
      <c r="BP520" s="35"/>
      <c r="BW520" s="36"/>
      <c r="BX520" s="36"/>
      <c r="BY520" s="36"/>
      <c r="BZ520" s="36"/>
      <c r="CY520" s="33"/>
    </row>
    <row r="521" spans="2:103" s="32" customFormat="1" x14ac:dyDescent="0.15">
      <c r="B521" s="33"/>
      <c r="E521" s="35"/>
      <c r="H521" s="33"/>
      <c r="N521" s="114"/>
      <c r="O521" s="34"/>
      <c r="P521" s="33"/>
      <c r="Q521" s="33"/>
      <c r="AA521" s="33"/>
      <c r="AB521" s="33"/>
      <c r="AC521" s="33"/>
      <c r="AD521" s="139"/>
      <c r="AE521" s="33"/>
      <c r="AL521" s="35"/>
      <c r="AV521" s="35"/>
      <c r="AW521" s="35"/>
      <c r="AX521" s="35"/>
      <c r="AY521" s="36"/>
      <c r="BF521" s="35"/>
      <c r="BG521" s="35"/>
      <c r="BO521" s="35"/>
      <c r="BP521" s="35"/>
      <c r="BW521" s="36"/>
      <c r="BX521" s="36"/>
      <c r="BY521" s="36"/>
      <c r="BZ521" s="36"/>
      <c r="CY521" s="33"/>
    </row>
    <row r="522" spans="2:103" s="32" customFormat="1" x14ac:dyDescent="0.15">
      <c r="B522" s="33"/>
      <c r="E522" s="35"/>
      <c r="H522" s="33"/>
      <c r="N522" s="114"/>
      <c r="O522" s="34"/>
      <c r="P522" s="33"/>
      <c r="Q522" s="33"/>
      <c r="AA522" s="33"/>
      <c r="AB522" s="33"/>
      <c r="AC522" s="33"/>
      <c r="AD522" s="139"/>
      <c r="AE522" s="33"/>
      <c r="AL522" s="35"/>
      <c r="AV522" s="35"/>
      <c r="AW522" s="35"/>
      <c r="AX522" s="35"/>
      <c r="AY522" s="36"/>
      <c r="BF522" s="35"/>
      <c r="BG522" s="35"/>
      <c r="BO522" s="35"/>
      <c r="BP522" s="35"/>
      <c r="BW522" s="36"/>
      <c r="BX522" s="36"/>
      <c r="BY522" s="36"/>
      <c r="BZ522" s="36"/>
      <c r="CY522" s="33"/>
    </row>
    <row r="523" spans="2:103" s="32" customFormat="1" x14ac:dyDescent="0.15">
      <c r="B523" s="33"/>
      <c r="E523" s="35"/>
      <c r="H523" s="33"/>
      <c r="N523" s="114"/>
      <c r="O523" s="34"/>
      <c r="P523" s="33"/>
      <c r="Q523" s="33"/>
      <c r="AA523" s="33"/>
      <c r="AB523" s="33"/>
      <c r="AC523" s="33"/>
      <c r="AD523" s="139"/>
      <c r="AE523" s="33"/>
      <c r="AL523" s="35"/>
      <c r="AV523" s="35"/>
      <c r="AW523" s="35"/>
      <c r="AX523" s="35"/>
      <c r="AY523" s="36"/>
      <c r="BF523" s="35"/>
      <c r="BG523" s="35"/>
      <c r="BO523" s="35"/>
      <c r="BP523" s="35"/>
      <c r="BW523" s="36"/>
      <c r="BX523" s="36"/>
      <c r="BY523" s="36"/>
      <c r="BZ523" s="36"/>
      <c r="CY523" s="33"/>
    </row>
    <row r="524" spans="2:103" s="32" customFormat="1" x14ac:dyDescent="0.15">
      <c r="B524" s="33"/>
      <c r="E524" s="35"/>
      <c r="H524" s="33"/>
      <c r="N524" s="114"/>
      <c r="O524" s="34"/>
      <c r="P524" s="33"/>
      <c r="Q524" s="33"/>
      <c r="AA524" s="33"/>
      <c r="AB524" s="33"/>
      <c r="AC524" s="33"/>
      <c r="AD524" s="139"/>
      <c r="AE524" s="33"/>
      <c r="AL524" s="35"/>
      <c r="AV524" s="35"/>
      <c r="AW524" s="35"/>
      <c r="AX524" s="35"/>
      <c r="AY524" s="36"/>
      <c r="BF524" s="35"/>
      <c r="BG524" s="35"/>
      <c r="BO524" s="35"/>
      <c r="BP524" s="35"/>
      <c r="BW524" s="36"/>
      <c r="BX524" s="36"/>
      <c r="BY524" s="36"/>
      <c r="BZ524" s="36"/>
      <c r="CY524" s="33"/>
    </row>
    <row r="525" spans="2:103" s="32" customFormat="1" x14ac:dyDescent="0.15">
      <c r="B525" s="33"/>
      <c r="E525" s="35"/>
      <c r="H525" s="33"/>
      <c r="N525" s="114"/>
      <c r="O525" s="34"/>
      <c r="P525" s="33"/>
      <c r="Q525" s="33"/>
      <c r="AA525" s="33"/>
      <c r="AB525" s="33"/>
      <c r="AC525" s="33"/>
      <c r="AD525" s="139"/>
      <c r="AE525" s="33"/>
      <c r="AL525" s="35"/>
      <c r="AV525" s="35"/>
      <c r="AW525" s="35"/>
      <c r="AX525" s="35"/>
      <c r="AY525" s="36"/>
      <c r="BF525" s="35"/>
      <c r="BG525" s="35"/>
      <c r="BO525" s="35"/>
      <c r="BP525" s="35"/>
      <c r="BW525" s="36"/>
      <c r="BX525" s="36"/>
      <c r="BY525" s="36"/>
      <c r="BZ525" s="36"/>
      <c r="CY525" s="33"/>
    </row>
    <row r="526" spans="2:103" s="32" customFormat="1" x14ac:dyDescent="0.15">
      <c r="B526" s="33"/>
      <c r="E526" s="35"/>
      <c r="H526" s="33"/>
      <c r="N526" s="114"/>
      <c r="O526" s="34"/>
      <c r="P526" s="33"/>
      <c r="Q526" s="33"/>
      <c r="AA526" s="33"/>
      <c r="AB526" s="33"/>
      <c r="AC526" s="33"/>
      <c r="AD526" s="139"/>
      <c r="AE526" s="33"/>
      <c r="AL526" s="35"/>
      <c r="AV526" s="35"/>
      <c r="AW526" s="35"/>
      <c r="AX526" s="35"/>
      <c r="AY526" s="36"/>
      <c r="BF526" s="35"/>
      <c r="BG526" s="35"/>
      <c r="BO526" s="35"/>
      <c r="BP526" s="35"/>
      <c r="BW526" s="36"/>
      <c r="BX526" s="36"/>
      <c r="BY526" s="36"/>
      <c r="BZ526" s="36"/>
      <c r="CY526" s="33"/>
    </row>
    <row r="527" spans="2:103" s="32" customFormat="1" x14ac:dyDescent="0.15">
      <c r="B527" s="33"/>
      <c r="E527" s="35"/>
      <c r="H527" s="33"/>
      <c r="N527" s="114"/>
      <c r="O527" s="34"/>
      <c r="P527" s="33"/>
      <c r="Q527" s="33"/>
      <c r="AA527" s="33"/>
      <c r="AB527" s="33"/>
      <c r="AC527" s="33"/>
      <c r="AD527" s="139"/>
      <c r="AE527" s="33"/>
      <c r="AL527" s="35"/>
      <c r="AV527" s="35"/>
      <c r="AW527" s="35"/>
      <c r="AX527" s="35"/>
      <c r="AY527" s="36"/>
      <c r="BF527" s="35"/>
      <c r="BG527" s="35"/>
      <c r="BO527" s="35"/>
      <c r="BP527" s="35"/>
      <c r="BW527" s="36"/>
      <c r="BX527" s="36"/>
      <c r="BY527" s="36"/>
      <c r="BZ527" s="36"/>
      <c r="CY527" s="33"/>
    </row>
    <row r="528" spans="2:103" s="32" customFormat="1" x14ac:dyDescent="0.15">
      <c r="B528" s="33"/>
      <c r="E528" s="35"/>
      <c r="H528" s="33"/>
      <c r="N528" s="114"/>
      <c r="O528" s="34"/>
      <c r="P528" s="33"/>
      <c r="Q528" s="33"/>
      <c r="AA528" s="33"/>
      <c r="AB528" s="33"/>
      <c r="AC528" s="33"/>
      <c r="AD528" s="139"/>
      <c r="AE528" s="33"/>
      <c r="AL528" s="35"/>
      <c r="AV528" s="35"/>
      <c r="AW528" s="35"/>
      <c r="AX528" s="35"/>
      <c r="AY528" s="36"/>
      <c r="BF528" s="35"/>
      <c r="BG528" s="35"/>
      <c r="BO528" s="35"/>
      <c r="BP528" s="35"/>
      <c r="BW528" s="36"/>
      <c r="BX528" s="36"/>
      <c r="BY528" s="36"/>
      <c r="BZ528" s="36"/>
      <c r="CY528" s="33"/>
    </row>
    <row r="529" spans="2:103" s="32" customFormat="1" x14ac:dyDescent="0.15">
      <c r="B529" s="33"/>
      <c r="E529" s="35"/>
      <c r="H529" s="33"/>
      <c r="N529" s="114"/>
      <c r="O529" s="34"/>
      <c r="P529" s="33"/>
      <c r="Q529" s="33"/>
      <c r="AA529" s="33"/>
      <c r="AB529" s="33"/>
      <c r="AC529" s="33"/>
      <c r="AD529" s="139"/>
      <c r="AE529" s="33"/>
      <c r="AL529" s="35"/>
      <c r="AV529" s="35"/>
      <c r="AW529" s="35"/>
      <c r="AX529" s="35"/>
      <c r="AY529" s="36"/>
      <c r="BF529" s="35"/>
      <c r="BG529" s="35"/>
      <c r="BO529" s="35"/>
      <c r="BP529" s="35"/>
      <c r="BW529" s="36"/>
      <c r="BX529" s="36"/>
      <c r="BY529" s="36"/>
      <c r="BZ529" s="36"/>
      <c r="CY529" s="33"/>
    </row>
    <row r="530" spans="2:103" s="32" customFormat="1" x14ac:dyDescent="0.15">
      <c r="B530" s="33"/>
      <c r="E530" s="35"/>
      <c r="H530" s="33"/>
      <c r="N530" s="114"/>
      <c r="O530" s="34"/>
      <c r="P530" s="33"/>
      <c r="Q530" s="33"/>
      <c r="AA530" s="33"/>
      <c r="AB530" s="33"/>
      <c r="AC530" s="33"/>
      <c r="AD530" s="139"/>
      <c r="AE530" s="33"/>
      <c r="AL530" s="35"/>
      <c r="AV530" s="35"/>
      <c r="AW530" s="35"/>
      <c r="AX530" s="35"/>
      <c r="AY530" s="36"/>
      <c r="BF530" s="35"/>
      <c r="BG530" s="35"/>
      <c r="BO530" s="35"/>
      <c r="BP530" s="35"/>
      <c r="BW530" s="36"/>
      <c r="BX530" s="36"/>
      <c r="BY530" s="36"/>
      <c r="BZ530" s="36"/>
      <c r="CY530" s="33"/>
    </row>
    <row r="531" spans="2:103" s="32" customFormat="1" x14ac:dyDescent="0.15">
      <c r="B531" s="33"/>
      <c r="E531" s="35"/>
      <c r="H531" s="33"/>
      <c r="N531" s="114"/>
      <c r="O531" s="34"/>
      <c r="P531" s="33"/>
      <c r="Q531" s="33"/>
      <c r="AA531" s="33"/>
      <c r="AB531" s="33"/>
      <c r="AC531" s="33"/>
      <c r="AD531" s="139"/>
      <c r="AE531" s="33"/>
      <c r="AL531" s="35"/>
      <c r="AV531" s="35"/>
      <c r="AW531" s="35"/>
      <c r="AX531" s="35"/>
      <c r="AY531" s="36"/>
      <c r="BF531" s="35"/>
      <c r="BG531" s="35"/>
      <c r="BO531" s="35"/>
      <c r="BP531" s="35"/>
      <c r="BW531" s="36"/>
      <c r="BX531" s="36"/>
      <c r="BY531" s="36"/>
      <c r="BZ531" s="36"/>
      <c r="CY531" s="33"/>
    </row>
    <row r="532" spans="2:103" s="32" customFormat="1" x14ac:dyDescent="0.15">
      <c r="B532" s="33"/>
      <c r="E532" s="35"/>
      <c r="H532" s="33"/>
      <c r="N532" s="114"/>
      <c r="O532" s="34"/>
      <c r="P532" s="33"/>
      <c r="Q532" s="33"/>
      <c r="AA532" s="33"/>
      <c r="AB532" s="33"/>
      <c r="AC532" s="33"/>
      <c r="AD532" s="139"/>
      <c r="AE532" s="33"/>
      <c r="AL532" s="35"/>
      <c r="AV532" s="35"/>
      <c r="AW532" s="35"/>
      <c r="AX532" s="35"/>
      <c r="AY532" s="36"/>
      <c r="BF532" s="35"/>
      <c r="BG532" s="35"/>
      <c r="BO532" s="35"/>
      <c r="BP532" s="35"/>
      <c r="BW532" s="36"/>
      <c r="BX532" s="36"/>
      <c r="BY532" s="36"/>
      <c r="BZ532" s="36"/>
      <c r="CY532" s="33"/>
    </row>
    <row r="533" spans="2:103" s="32" customFormat="1" x14ac:dyDescent="0.15">
      <c r="B533" s="33"/>
      <c r="E533" s="35"/>
      <c r="H533" s="33"/>
      <c r="N533" s="114"/>
      <c r="O533" s="34"/>
      <c r="P533" s="33"/>
      <c r="Q533" s="33"/>
      <c r="AA533" s="33"/>
      <c r="AB533" s="33"/>
      <c r="AC533" s="33"/>
      <c r="AD533" s="139"/>
      <c r="AE533" s="33"/>
      <c r="AL533" s="35"/>
      <c r="AV533" s="35"/>
      <c r="AW533" s="35"/>
      <c r="AX533" s="35"/>
      <c r="AY533" s="36"/>
      <c r="BF533" s="35"/>
      <c r="BG533" s="35"/>
      <c r="BO533" s="35"/>
      <c r="BP533" s="35"/>
      <c r="BW533" s="36"/>
      <c r="BX533" s="36"/>
      <c r="BY533" s="36"/>
      <c r="BZ533" s="36"/>
      <c r="CY533" s="33"/>
    </row>
    <row r="534" spans="2:103" s="32" customFormat="1" x14ac:dyDescent="0.15">
      <c r="B534" s="33"/>
      <c r="E534" s="35"/>
      <c r="H534" s="33"/>
      <c r="N534" s="114"/>
      <c r="O534" s="34"/>
      <c r="P534" s="33"/>
      <c r="Q534" s="33"/>
      <c r="AA534" s="33"/>
      <c r="AB534" s="33"/>
      <c r="AC534" s="33"/>
      <c r="AD534" s="139"/>
      <c r="AE534" s="33"/>
      <c r="AL534" s="35"/>
      <c r="AV534" s="35"/>
      <c r="AW534" s="35"/>
      <c r="AX534" s="35"/>
      <c r="AY534" s="36"/>
      <c r="BF534" s="35"/>
      <c r="BG534" s="35"/>
      <c r="BO534" s="35"/>
      <c r="BP534" s="35"/>
      <c r="BW534" s="36"/>
      <c r="BX534" s="36"/>
      <c r="BY534" s="36"/>
      <c r="BZ534" s="36"/>
      <c r="CY534" s="33"/>
    </row>
    <row r="535" spans="2:103" s="32" customFormat="1" x14ac:dyDescent="0.15">
      <c r="B535" s="33"/>
      <c r="E535" s="35"/>
      <c r="H535" s="33"/>
      <c r="N535" s="114"/>
      <c r="O535" s="34"/>
      <c r="P535" s="33"/>
      <c r="Q535" s="33"/>
      <c r="AA535" s="33"/>
      <c r="AB535" s="33"/>
      <c r="AC535" s="33"/>
      <c r="AD535" s="139"/>
      <c r="AE535" s="33"/>
      <c r="AL535" s="35"/>
      <c r="AV535" s="35"/>
      <c r="AW535" s="35"/>
      <c r="AX535" s="35"/>
      <c r="AY535" s="36"/>
      <c r="BF535" s="35"/>
      <c r="BG535" s="35"/>
      <c r="BO535" s="35"/>
      <c r="BP535" s="35"/>
      <c r="BW535" s="36"/>
      <c r="BX535" s="36"/>
      <c r="BY535" s="36"/>
      <c r="BZ535" s="36"/>
      <c r="CY535" s="33"/>
    </row>
    <row r="536" spans="2:103" s="32" customFormat="1" x14ac:dyDescent="0.15">
      <c r="B536" s="33"/>
      <c r="E536" s="35"/>
      <c r="H536" s="33"/>
      <c r="N536" s="114"/>
      <c r="O536" s="34"/>
      <c r="P536" s="33"/>
      <c r="Q536" s="33"/>
      <c r="AA536" s="33"/>
      <c r="AB536" s="33"/>
      <c r="AC536" s="33"/>
      <c r="AD536" s="139"/>
      <c r="AE536" s="33"/>
      <c r="AL536" s="35"/>
      <c r="AV536" s="35"/>
      <c r="AW536" s="35"/>
      <c r="AX536" s="35"/>
      <c r="AY536" s="36"/>
      <c r="BF536" s="35"/>
      <c r="BG536" s="35"/>
      <c r="BO536" s="35"/>
      <c r="BP536" s="35"/>
      <c r="BW536" s="36"/>
      <c r="BX536" s="36"/>
      <c r="BY536" s="36"/>
      <c r="BZ536" s="36"/>
      <c r="CY536" s="33"/>
    </row>
    <row r="537" spans="2:103" s="32" customFormat="1" x14ac:dyDescent="0.15">
      <c r="B537" s="33"/>
      <c r="E537" s="35"/>
      <c r="H537" s="33"/>
      <c r="N537" s="114"/>
      <c r="O537" s="34"/>
      <c r="P537" s="33"/>
      <c r="Q537" s="33"/>
      <c r="AA537" s="33"/>
      <c r="AB537" s="33"/>
      <c r="AC537" s="33"/>
      <c r="AD537" s="139"/>
      <c r="AE537" s="33"/>
      <c r="AL537" s="35"/>
      <c r="AV537" s="35"/>
      <c r="AW537" s="35"/>
      <c r="AX537" s="35"/>
      <c r="AY537" s="36"/>
      <c r="BF537" s="35"/>
      <c r="BG537" s="35"/>
      <c r="BO537" s="35"/>
      <c r="BP537" s="35"/>
      <c r="BW537" s="36"/>
      <c r="BX537" s="36"/>
      <c r="BY537" s="36"/>
      <c r="BZ537" s="36"/>
      <c r="CY537" s="33"/>
    </row>
    <row r="538" spans="2:103" s="32" customFormat="1" x14ac:dyDescent="0.15">
      <c r="B538" s="33"/>
      <c r="E538" s="35"/>
      <c r="H538" s="33"/>
      <c r="N538" s="114"/>
      <c r="O538" s="34"/>
      <c r="P538" s="33"/>
      <c r="Q538" s="33"/>
      <c r="AA538" s="33"/>
      <c r="AB538" s="33"/>
      <c r="AC538" s="33"/>
      <c r="AD538" s="139"/>
      <c r="AE538" s="33"/>
      <c r="AL538" s="35"/>
      <c r="AV538" s="35"/>
      <c r="AW538" s="35"/>
      <c r="AX538" s="35"/>
      <c r="AY538" s="36"/>
      <c r="BF538" s="35"/>
      <c r="BG538" s="35"/>
      <c r="BO538" s="35"/>
      <c r="BP538" s="35"/>
      <c r="BW538" s="36"/>
      <c r="BX538" s="36"/>
      <c r="BY538" s="36"/>
      <c r="BZ538" s="36"/>
      <c r="CY538" s="33"/>
    </row>
    <row r="539" spans="2:103" s="32" customFormat="1" x14ac:dyDescent="0.15">
      <c r="B539" s="33"/>
      <c r="E539" s="35"/>
      <c r="H539" s="33"/>
      <c r="N539" s="114"/>
      <c r="O539" s="34"/>
      <c r="P539" s="33"/>
      <c r="Q539" s="33"/>
      <c r="AA539" s="33"/>
      <c r="AB539" s="33"/>
      <c r="AC539" s="33"/>
      <c r="AD539" s="139"/>
      <c r="AE539" s="33"/>
      <c r="AL539" s="35"/>
      <c r="AV539" s="35"/>
      <c r="AW539" s="35"/>
      <c r="AX539" s="35"/>
      <c r="AY539" s="36"/>
      <c r="BF539" s="35"/>
      <c r="BG539" s="35"/>
      <c r="BO539" s="35"/>
      <c r="BP539" s="35"/>
      <c r="BW539" s="36"/>
      <c r="BX539" s="36"/>
      <c r="BY539" s="36"/>
      <c r="BZ539" s="36"/>
      <c r="CY539" s="33"/>
    </row>
    <row r="540" spans="2:103" s="32" customFormat="1" x14ac:dyDescent="0.15">
      <c r="B540" s="33"/>
      <c r="E540" s="35"/>
      <c r="H540" s="33"/>
      <c r="N540" s="114"/>
      <c r="O540" s="34"/>
      <c r="P540" s="33"/>
      <c r="Q540" s="33"/>
      <c r="AA540" s="33"/>
      <c r="AB540" s="33"/>
      <c r="AC540" s="33"/>
      <c r="AD540" s="139"/>
      <c r="AE540" s="33"/>
      <c r="AL540" s="35"/>
      <c r="AV540" s="35"/>
      <c r="AW540" s="35"/>
      <c r="AX540" s="35"/>
      <c r="AY540" s="36"/>
      <c r="BF540" s="35"/>
      <c r="BG540" s="35"/>
      <c r="BO540" s="35"/>
      <c r="BP540" s="35"/>
      <c r="BW540" s="36"/>
      <c r="BX540" s="36"/>
      <c r="BY540" s="36"/>
      <c r="BZ540" s="36"/>
      <c r="CY540" s="33"/>
    </row>
    <row r="541" spans="2:103" s="32" customFormat="1" x14ac:dyDescent="0.15">
      <c r="B541" s="33"/>
      <c r="E541" s="35"/>
      <c r="H541" s="33"/>
      <c r="N541" s="114"/>
      <c r="O541" s="34"/>
      <c r="P541" s="33"/>
      <c r="Q541" s="33"/>
      <c r="AA541" s="33"/>
      <c r="AB541" s="33"/>
      <c r="AC541" s="33"/>
      <c r="AD541" s="139"/>
      <c r="AE541" s="33"/>
      <c r="AL541" s="35"/>
      <c r="AV541" s="35"/>
      <c r="AW541" s="35"/>
      <c r="AX541" s="35"/>
      <c r="AY541" s="36"/>
      <c r="BF541" s="35"/>
      <c r="BG541" s="35"/>
      <c r="BO541" s="35"/>
      <c r="BP541" s="35"/>
      <c r="BW541" s="36"/>
      <c r="BX541" s="36"/>
      <c r="BY541" s="36"/>
      <c r="BZ541" s="36"/>
      <c r="CY541" s="33"/>
    </row>
    <row r="542" spans="2:103" s="32" customFormat="1" x14ac:dyDescent="0.15">
      <c r="B542" s="33"/>
      <c r="E542" s="35"/>
      <c r="H542" s="33"/>
      <c r="N542" s="114"/>
      <c r="O542" s="34"/>
      <c r="P542" s="33"/>
      <c r="Q542" s="33"/>
      <c r="AA542" s="33"/>
      <c r="AB542" s="33"/>
      <c r="AC542" s="33"/>
      <c r="AD542" s="139"/>
      <c r="AE542" s="33"/>
      <c r="AL542" s="35"/>
      <c r="AV542" s="35"/>
      <c r="AW542" s="35"/>
      <c r="AX542" s="35"/>
      <c r="AY542" s="36"/>
      <c r="BF542" s="35"/>
      <c r="BG542" s="35"/>
      <c r="BO542" s="35"/>
      <c r="BP542" s="35"/>
      <c r="BW542" s="36"/>
      <c r="BX542" s="36"/>
      <c r="BY542" s="36"/>
      <c r="BZ542" s="36"/>
      <c r="CY542" s="33"/>
    </row>
    <row r="543" spans="2:103" s="32" customFormat="1" x14ac:dyDescent="0.15">
      <c r="B543" s="33"/>
      <c r="E543" s="35"/>
      <c r="H543" s="33"/>
      <c r="N543" s="114"/>
      <c r="O543" s="34"/>
      <c r="P543" s="33"/>
      <c r="Q543" s="33"/>
      <c r="AA543" s="33"/>
      <c r="AB543" s="33"/>
      <c r="AC543" s="33"/>
      <c r="AD543" s="139"/>
      <c r="AE543" s="33"/>
      <c r="AL543" s="35"/>
      <c r="AV543" s="35"/>
      <c r="AW543" s="35"/>
      <c r="AX543" s="35"/>
      <c r="AY543" s="36"/>
      <c r="BF543" s="35"/>
      <c r="BG543" s="35"/>
      <c r="BO543" s="35"/>
      <c r="BP543" s="35"/>
      <c r="BW543" s="36"/>
      <c r="BX543" s="36"/>
      <c r="BY543" s="36"/>
      <c r="BZ543" s="36"/>
      <c r="CY543" s="33"/>
    </row>
    <row r="544" spans="2:103" s="32" customFormat="1" x14ac:dyDescent="0.15">
      <c r="B544" s="33"/>
      <c r="E544" s="35"/>
      <c r="H544" s="33"/>
      <c r="N544" s="114"/>
      <c r="O544" s="34"/>
      <c r="P544" s="33"/>
      <c r="Q544" s="33"/>
      <c r="AA544" s="33"/>
      <c r="AB544" s="33"/>
      <c r="AC544" s="33"/>
      <c r="AD544" s="139"/>
      <c r="AE544" s="33"/>
      <c r="AL544" s="35"/>
      <c r="AV544" s="35"/>
      <c r="AW544" s="35"/>
      <c r="AX544" s="35"/>
      <c r="AY544" s="36"/>
      <c r="BF544" s="35"/>
      <c r="BG544" s="35"/>
      <c r="BO544" s="35"/>
      <c r="BP544" s="35"/>
      <c r="BW544" s="36"/>
      <c r="BX544" s="36"/>
      <c r="BY544" s="36"/>
      <c r="BZ544" s="36"/>
      <c r="CY544" s="33"/>
    </row>
    <row r="545" spans="2:103" s="32" customFormat="1" x14ac:dyDescent="0.15">
      <c r="B545" s="33"/>
      <c r="E545" s="35"/>
      <c r="H545" s="33"/>
      <c r="N545" s="114"/>
      <c r="O545" s="34"/>
      <c r="P545" s="33"/>
      <c r="Q545" s="33"/>
      <c r="AA545" s="33"/>
      <c r="AB545" s="33"/>
      <c r="AC545" s="33"/>
      <c r="AD545" s="139"/>
      <c r="AE545" s="33"/>
      <c r="AL545" s="35"/>
      <c r="AV545" s="35"/>
      <c r="AW545" s="35"/>
      <c r="AX545" s="35"/>
      <c r="AY545" s="36"/>
      <c r="BF545" s="35"/>
      <c r="BG545" s="35"/>
      <c r="BO545" s="35"/>
      <c r="BP545" s="35"/>
      <c r="BW545" s="36"/>
      <c r="BX545" s="36"/>
      <c r="BY545" s="36"/>
      <c r="BZ545" s="36"/>
      <c r="CY545" s="33"/>
    </row>
    <row r="546" spans="2:103" s="32" customFormat="1" x14ac:dyDescent="0.15">
      <c r="B546" s="33"/>
      <c r="E546" s="35"/>
      <c r="H546" s="33"/>
      <c r="N546" s="114"/>
      <c r="O546" s="34"/>
      <c r="P546" s="33"/>
      <c r="Q546" s="33"/>
      <c r="AA546" s="33"/>
      <c r="AB546" s="33"/>
      <c r="AC546" s="33"/>
      <c r="AD546" s="139"/>
      <c r="AE546" s="33"/>
      <c r="AL546" s="35"/>
      <c r="AV546" s="35"/>
      <c r="AW546" s="35"/>
      <c r="AX546" s="35"/>
      <c r="AY546" s="36"/>
      <c r="BF546" s="35"/>
      <c r="BG546" s="35"/>
      <c r="BO546" s="35"/>
      <c r="BP546" s="35"/>
      <c r="BW546" s="36"/>
      <c r="BX546" s="36"/>
      <c r="BY546" s="36"/>
      <c r="BZ546" s="36"/>
      <c r="CY546" s="33"/>
    </row>
    <row r="547" spans="2:103" s="32" customFormat="1" x14ac:dyDescent="0.15">
      <c r="B547" s="33"/>
      <c r="E547" s="35"/>
      <c r="H547" s="33"/>
      <c r="N547" s="114"/>
      <c r="O547" s="34"/>
      <c r="P547" s="33"/>
      <c r="Q547" s="33"/>
      <c r="AA547" s="33"/>
      <c r="AB547" s="33"/>
      <c r="AC547" s="33"/>
      <c r="AD547" s="139"/>
      <c r="AE547" s="33"/>
      <c r="AL547" s="35"/>
      <c r="AV547" s="35"/>
      <c r="AW547" s="35"/>
      <c r="AX547" s="35"/>
      <c r="AY547" s="36"/>
      <c r="BF547" s="35"/>
      <c r="BG547" s="35"/>
      <c r="BO547" s="35"/>
      <c r="BP547" s="35"/>
      <c r="BW547" s="36"/>
      <c r="BX547" s="36"/>
      <c r="BY547" s="36"/>
      <c r="BZ547" s="36"/>
      <c r="CY547" s="33"/>
    </row>
    <row r="548" spans="2:103" s="32" customFormat="1" x14ac:dyDescent="0.15">
      <c r="B548" s="33"/>
      <c r="E548" s="35"/>
      <c r="H548" s="33"/>
      <c r="N548" s="114"/>
      <c r="O548" s="34"/>
      <c r="P548" s="33"/>
      <c r="Q548" s="33"/>
      <c r="AA548" s="33"/>
      <c r="AB548" s="33"/>
      <c r="AC548" s="33"/>
      <c r="AD548" s="139"/>
      <c r="AE548" s="33"/>
      <c r="AL548" s="35"/>
      <c r="AV548" s="35"/>
      <c r="AW548" s="35"/>
      <c r="AX548" s="35"/>
      <c r="AY548" s="36"/>
      <c r="BF548" s="35"/>
      <c r="BG548" s="35"/>
      <c r="BO548" s="35"/>
      <c r="BP548" s="35"/>
      <c r="BW548" s="36"/>
      <c r="BX548" s="36"/>
      <c r="BY548" s="36"/>
      <c r="BZ548" s="36"/>
      <c r="CY548" s="33"/>
    </row>
    <row r="549" spans="2:103" s="32" customFormat="1" x14ac:dyDescent="0.15">
      <c r="B549" s="33"/>
      <c r="E549" s="35"/>
      <c r="H549" s="33"/>
      <c r="N549" s="114"/>
      <c r="O549" s="34"/>
      <c r="P549" s="33"/>
      <c r="Q549" s="33"/>
      <c r="AA549" s="33"/>
      <c r="AB549" s="33"/>
      <c r="AC549" s="33"/>
      <c r="AD549" s="139"/>
      <c r="AE549" s="33"/>
      <c r="AL549" s="35"/>
      <c r="AV549" s="35"/>
      <c r="AW549" s="35"/>
      <c r="AX549" s="35"/>
      <c r="AY549" s="36"/>
      <c r="BF549" s="35"/>
      <c r="BG549" s="35"/>
      <c r="BO549" s="35"/>
      <c r="BP549" s="35"/>
      <c r="BW549" s="36"/>
      <c r="BX549" s="36"/>
      <c r="BY549" s="36"/>
      <c r="BZ549" s="36"/>
      <c r="CY549" s="33"/>
    </row>
    <row r="550" spans="2:103" s="32" customFormat="1" x14ac:dyDescent="0.15">
      <c r="B550" s="33"/>
      <c r="E550" s="35"/>
      <c r="H550" s="33"/>
      <c r="N550" s="114"/>
      <c r="O550" s="34"/>
      <c r="P550" s="33"/>
      <c r="Q550" s="33"/>
      <c r="AA550" s="33"/>
      <c r="AB550" s="33"/>
      <c r="AC550" s="33"/>
      <c r="AD550" s="139"/>
      <c r="AE550" s="33"/>
      <c r="AL550" s="35"/>
      <c r="AV550" s="35"/>
      <c r="AW550" s="35"/>
      <c r="AX550" s="35"/>
      <c r="AY550" s="36"/>
      <c r="BF550" s="35"/>
      <c r="BG550" s="35"/>
      <c r="BO550" s="35"/>
      <c r="BP550" s="35"/>
      <c r="BW550" s="36"/>
      <c r="BX550" s="36"/>
      <c r="BY550" s="36"/>
      <c r="BZ550" s="36"/>
      <c r="CY550" s="33"/>
    </row>
    <row r="551" spans="2:103" s="32" customFormat="1" x14ac:dyDescent="0.15">
      <c r="B551" s="33"/>
      <c r="E551" s="35"/>
      <c r="H551" s="33"/>
      <c r="N551" s="114"/>
      <c r="O551" s="34"/>
      <c r="P551" s="33"/>
      <c r="Q551" s="33"/>
      <c r="AA551" s="33"/>
      <c r="AB551" s="33"/>
      <c r="AC551" s="33"/>
      <c r="AD551" s="139"/>
      <c r="AE551" s="33"/>
      <c r="AL551" s="35"/>
      <c r="AV551" s="35"/>
      <c r="AW551" s="35"/>
      <c r="AX551" s="35"/>
      <c r="AY551" s="36"/>
      <c r="BF551" s="35"/>
      <c r="BG551" s="35"/>
      <c r="BO551" s="35"/>
      <c r="BP551" s="35"/>
      <c r="BW551" s="36"/>
      <c r="BX551" s="36"/>
      <c r="BY551" s="36"/>
      <c r="BZ551" s="36"/>
      <c r="CY551" s="33"/>
    </row>
    <row r="552" spans="2:103" s="32" customFormat="1" x14ac:dyDescent="0.15">
      <c r="B552" s="33"/>
      <c r="E552" s="35"/>
      <c r="H552" s="33"/>
      <c r="N552" s="114"/>
      <c r="O552" s="34"/>
      <c r="P552" s="33"/>
      <c r="Q552" s="33"/>
      <c r="AA552" s="33"/>
      <c r="AB552" s="33"/>
      <c r="AC552" s="33"/>
      <c r="AD552" s="139"/>
      <c r="AE552" s="33"/>
      <c r="AL552" s="35"/>
      <c r="AV552" s="35"/>
      <c r="AW552" s="35"/>
      <c r="AX552" s="35"/>
      <c r="AY552" s="36"/>
      <c r="BF552" s="35"/>
      <c r="BG552" s="35"/>
      <c r="BO552" s="35"/>
      <c r="BP552" s="35"/>
      <c r="BW552" s="36"/>
      <c r="BX552" s="36"/>
      <c r="BY552" s="36"/>
      <c r="BZ552" s="36"/>
      <c r="CY552" s="33"/>
    </row>
    <row r="553" spans="2:103" s="32" customFormat="1" x14ac:dyDescent="0.15">
      <c r="B553" s="33"/>
      <c r="E553" s="35"/>
      <c r="H553" s="33"/>
      <c r="N553" s="114"/>
      <c r="O553" s="34"/>
      <c r="P553" s="33"/>
      <c r="Q553" s="33"/>
      <c r="AA553" s="33"/>
      <c r="AB553" s="33"/>
      <c r="AC553" s="33"/>
      <c r="AD553" s="139"/>
      <c r="AE553" s="33"/>
      <c r="AL553" s="35"/>
      <c r="AV553" s="35"/>
      <c r="AW553" s="35"/>
      <c r="AX553" s="35"/>
      <c r="AY553" s="36"/>
      <c r="BF553" s="35"/>
      <c r="BG553" s="35"/>
      <c r="BO553" s="35"/>
      <c r="BP553" s="35"/>
      <c r="BW553" s="36"/>
      <c r="BX553" s="36"/>
      <c r="BY553" s="36"/>
      <c r="BZ553" s="36"/>
      <c r="CY553" s="33"/>
    </row>
    <row r="554" spans="2:103" s="32" customFormat="1" x14ac:dyDescent="0.15">
      <c r="B554" s="33"/>
      <c r="E554" s="35"/>
      <c r="H554" s="33"/>
      <c r="N554" s="114"/>
      <c r="O554" s="34"/>
      <c r="P554" s="33"/>
      <c r="Q554" s="33"/>
      <c r="AA554" s="33"/>
      <c r="AB554" s="33"/>
      <c r="AC554" s="33"/>
      <c r="AD554" s="139"/>
      <c r="AE554" s="33"/>
      <c r="AL554" s="35"/>
      <c r="AV554" s="35"/>
      <c r="AW554" s="35"/>
      <c r="AX554" s="35"/>
      <c r="AY554" s="36"/>
      <c r="BF554" s="35"/>
      <c r="BG554" s="35"/>
      <c r="BO554" s="35"/>
      <c r="BP554" s="35"/>
      <c r="BW554" s="36"/>
      <c r="BX554" s="36"/>
      <c r="BY554" s="36"/>
      <c r="BZ554" s="36"/>
      <c r="CY554" s="33"/>
    </row>
    <row r="555" spans="2:103" s="32" customFormat="1" x14ac:dyDescent="0.15">
      <c r="B555" s="33"/>
      <c r="E555" s="35"/>
      <c r="H555" s="33"/>
      <c r="N555" s="114"/>
      <c r="O555" s="34"/>
      <c r="P555" s="33"/>
      <c r="Q555" s="33"/>
      <c r="AA555" s="33"/>
      <c r="AB555" s="33"/>
      <c r="AC555" s="33"/>
      <c r="AD555" s="139"/>
      <c r="AE555" s="33"/>
      <c r="AL555" s="35"/>
      <c r="AV555" s="35"/>
      <c r="AW555" s="35"/>
      <c r="AX555" s="35"/>
      <c r="AY555" s="36"/>
      <c r="BF555" s="35"/>
      <c r="BG555" s="35"/>
      <c r="BO555" s="35"/>
      <c r="BP555" s="35"/>
      <c r="BW555" s="36"/>
      <c r="BX555" s="36"/>
      <c r="BY555" s="36"/>
      <c r="BZ555" s="36"/>
      <c r="CY555" s="33"/>
    </row>
    <row r="556" spans="2:103" s="32" customFormat="1" x14ac:dyDescent="0.15">
      <c r="B556" s="33"/>
      <c r="E556" s="35"/>
      <c r="H556" s="33"/>
      <c r="N556" s="114"/>
      <c r="O556" s="34"/>
      <c r="P556" s="33"/>
      <c r="Q556" s="33"/>
      <c r="AA556" s="33"/>
      <c r="AB556" s="33"/>
      <c r="AC556" s="33"/>
      <c r="AD556" s="139"/>
      <c r="AE556" s="33"/>
      <c r="AL556" s="35"/>
      <c r="AV556" s="35"/>
      <c r="AW556" s="35"/>
      <c r="AX556" s="35"/>
      <c r="AY556" s="36"/>
      <c r="BF556" s="35"/>
      <c r="BG556" s="35"/>
      <c r="BO556" s="35"/>
      <c r="BP556" s="35"/>
      <c r="BW556" s="36"/>
      <c r="BX556" s="36"/>
      <c r="BY556" s="36"/>
      <c r="BZ556" s="36"/>
      <c r="CY556" s="33"/>
    </row>
    <row r="557" spans="2:103" s="32" customFormat="1" x14ac:dyDescent="0.15">
      <c r="B557" s="33"/>
      <c r="E557" s="35"/>
      <c r="H557" s="33"/>
      <c r="N557" s="114"/>
      <c r="O557" s="34"/>
      <c r="P557" s="33"/>
      <c r="Q557" s="33"/>
      <c r="AA557" s="33"/>
      <c r="AB557" s="33"/>
      <c r="AC557" s="33"/>
      <c r="AD557" s="139"/>
      <c r="AE557" s="33"/>
      <c r="AL557" s="35"/>
      <c r="AV557" s="35"/>
      <c r="AW557" s="35"/>
      <c r="AX557" s="35"/>
      <c r="AY557" s="36"/>
      <c r="BF557" s="35"/>
      <c r="BG557" s="35"/>
      <c r="BO557" s="35"/>
      <c r="BP557" s="35"/>
      <c r="BW557" s="36"/>
      <c r="BX557" s="36"/>
      <c r="BY557" s="36"/>
      <c r="BZ557" s="36"/>
      <c r="CY557" s="33"/>
    </row>
    <row r="558" spans="2:103" s="32" customFormat="1" x14ac:dyDescent="0.15">
      <c r="B558" s="33"/>
      <c r="E558" s="35"/>
      <c r="H558" s="33"/>
      <c r="N558" s="114"/>
      <c r="O558" s="34"/>
      <c r="P558" s="33"/>
      <c r="Q558" s="33"/>
      <c r="AA558" s="33"/>
      <c r="AB558" s="33"/>
      <c r="AC558" s="33"/>
      <c r="AD558" s="139"/>
      <c r="AE558" s="33"/>
      <c r="AL558" s="35"/>
      <c r="AV558" s="35"/>
      <c r="AW558" s="35"/>
      <c r="AX558" s="35"/>
      <c r="AY558" s="36"/>
      <c r="BF558" s="35"/>
      <c r="BG558" s="35"/>
      <c r="BO558" s="35"/>
      <c r="BP558" s="35"/>
      <c r="BW558" s="36"/>
      <c r="BX558" s="36"/>
      <c r="BY558" s="36"/>
      <c r="BZ558" s="36"/>
      <c r="CY558" s="33"/>
    </row>
    <row r="559" spans="2:103" s="32" customFormat="1" x14ac:dyDescent="0.15">
      <c r="B559" s="33"/>
      <c r="E559" s="35"/>
      <c r="H559" s="33"/>
      <c r="N559" s="114"/>
      <c r="O559" s="34"/>
      <c r="P559" s="33"/>
      <c r="Q559" s="33"/>
      <c r="AA559" s="33"/>
      <c r="AB559" s="33"/>
      <c r="AC559" s="33"/>
      <c r="AD559" s="139"/>
      <c r="AE559" s="33"/>
      <c r="AL559" s="35"/>
      <c r="AV559" s="35"/>
      <c r="AW559" s="35"/>
      <c r="AX559" s="35"/>
      <c r="AY559" s="36"/>
      <c r="BF559" s="35"/>
      <c r="BG559" s="35"/>
      <c r="BO559" s="35"/>
      <c r="BP559" s="35"/>
      <c r="BW559" s="36"/>
      <c r="BX559" s="36"/>
      <c r="BY559" s="36"/>
      <c r="BZ559" s="36"/>
      <c r="CY559" s="33"/>
    </row>
    <row r="560" spans="2:103" s="32" customFormat="1" x14ac:dyDescent="0.15">
      <c r="B560" s="33"/>
      <c r="E560" s="35"/>
      <c r="H560" s="33"/>
      <c r="N560" s="114"/>
      <c r="O560" s="34"/>
      <c r="P560" s="33"/>
      <c r="Q560" s="33"/>
      <c r="AA560" s="33"/>
      <c r="AB560" s="33"/>
      <c r="AC560" s="33"/>
      <c r="AD560" s="139"/>
      <c r="AE560" s="33"/>
      <c r="AL560" s="35"/>
      <c r="AV560" s="35"/>
      <c r="AW560" s="35"/>
      <c r="AX560" s="35"/>
      <c r="AY560" s="36"/>
      <c r="BF560" s="35"/>
      <c r="BG560" s="35"/>
      <c r="BO560" s="35"/>
      <c r="BP560" s="35"/>
      <c r="BW560" s="36"/>
      <c r="BX560" s="36"/>
      <c r="BY560" s="36"/>
      <c r="BZ560" s="36"/>
      <c r="CY560" s="33"/>
    </row>
    <row r="561" spans="2:103" s="32" customFormat="1" x14ac:dyDescent="0.15">
      <c r="B561" s="33"/>
      <c r="E561" s="35"/>
      <c r="H561" s="33"/>
      <c r="N561" s="114"/>
      <c r="O561" s="34"/>
      <c r="P561" s="33"/>
      <c r="Q561" s="33"/>
      <c r="AA561" s="33"/>
      <c r="AB561" s="33"/>
      <c r="AC561" s="33"/>
      <c r="AD561" s="139"/>
      <c r="AE561" s="33"/>
      <c r="AL561" s="35"/>
      <c r="AV561" s="35"/>
      <c r="AW561" s="35"/>
      <c r="AX561" s="35"/>
      <c r="AY561" s="36"/>
      <c r="BF561" s="35"/>
      <c r="BG561" s="35"/>
      <c r="BO561" s="35"/>
      <c r="BP561" s="35"/>
      <c r="BW561" s="36"/>
      <c r="BX561" s="36"/>
      <c r="BY561" s="36"/>
      <c r="BZ561" s="36"/>
      <c r="CY561" s="33"/>
    </row>
    <row r="562" spans="2:103" s="32" customFormat="1" x14ac:dyDescent="0.15">
      <c r="B562" s="33"/>
      <c r="E562" s="35"/>
      <c r="H562" s="33"/>
      <c r="N562" s="114"/>
      <c r="O562" s="34"/>
      <c r="P562" s="33"/>
      <c r="Q562" s="33"/>
      <c r="AA562" s="33"/>
      <c r="AB562" s="33"/>
      <c r="AC562" s="33"/>
      <c r="AD562" s="139"/>
      <c r="AE562" s="33"/>
      <c r="AL562" s="35"/>
      <c r="AV562" s="35"/>
      <c r="AW562" s="35"/>
      <c r="AX562" s="35"/>
      <c r="AY562" s="36"/>
      <c r="BF562" s="35"/>
      <c r="BG562" s="35"/>
      <c r="BO562" s="35"/>
      <c r="BP562" s="35"/>
      <c r="BW562" s="36"/>
      <c r="BX562" s="36"/>
      <c r="BY562" s="36"/>
      <c r="BZ562" s="36"/>
      <c r="CY562" s="33"/>
    </row>
    <row r="563" spans="2:103" s="32" customFormat="1" x14ac:dyDescent="0.15">
      <c r="B563" s="33"/>
      <c r="E563" s="35"/>
      <c r="H563" s="33"/>
      <c r="N563" s="114"/>
      <c r="O563" s="34"/>
      <c r="P563" s="33"/>
      <c r="Q563" s="33"/>
      <c r="AA563" s="33"/>
      <c r="AB563" s="33"/>
      <c r="AC563" s="33"/>
      <c r="AD563" s="139"/>
      <c r="AE563" s="33"/>
      <c r="AL563" s="35"/>
      <c r="AV563" s="35"/>
      <c r="AW563" s="35"/>
      <c r="AX563" s="35"/>
      <c r="AY563" s="36"/>
      <c r="BF563" s="35"/>
      <c r="BG563" s="35"/>
      <c r="BO563" s="35"/>
      <c r="BP563" s="35"/>
      <c r="BW563" s="36"/>
      <c r="BX563" s="36"/>
      <c r="BY563" s="36"/>
      <c r="BZ563" s="36"/>
      <c r="CY563" s="33"/>
    </row>
    <row r="564" spans="2:103" s="32" customFormat="1" x14ac:dyDescent="0.15">
      <c r="B564" s="33"/>
      <c r="E564" s="35"/>
      <c r="H564" s="33"/>
      <c r="N564" s="114"/>
      <c r="O564" s="34"/>
      <c r="P564" s="33"/>
      <c r="Q564" s="33"/>
      <c r="AA564" s="33"/>
      <c r="AB564" s="33"/>
      <c r="AC564" s="33"/>
      <c r="AD564" s="139"/>
      <c r="AE564" s="33"/>
      <c r="AL564" s="35"/>
      <c r="AV564" s="35"/>
      <c r="AW564" s="35"/>
      <c r="AX564" s="35"/>
      <c r="AY564" s="36"/>
      <c r="BF564" s="35"/>
      <c r="BG564" s="35"/>
      <c r="BO564" s="35"/>
      <c r="BP564" s="35"/>
      <c r="BW564" s="36"/>
      <c r="BX564" s="36"/>
      <c r="BY564" s="36"/>
      <c r="BZ564" s="36"/>
      <c r="CY564" s="33"/>
    </row>
    <row r="565" spans="2:103" s="32" customFormat="1" x14ac:dyDescent="0.15">
      <c r="B565" s="33"/>
      <c r="E565" s="35"/>
      <c r="H565" s="33"/>
      <c r="N565" s="114"/>
      <c r="O565" s="34"/>
      <c r="P565" s="33"/>
      <c r="Q565" s="33"/>
      <c r="AA565" s="33"/>
      <c r="AB565" s="33"/>
      <c r="AC565" s="33"/>
      <c r="AD565" s="139"/>
      <c r="AE565" s="33"/>
      <c r="AL565" s="35"/>
      <c r="AV565" s="35"/>
      <c r="AW565" s="35"/>
      <c r="AX565" s="35"/>
      <c r="AY565" s="36"/>
      <c r="BF565" s="35"/>
      <c r="BG565" s="35"/>
      <c r="BO565" s="35"/>
      <c r="BP565" s="35"/>
      <c r="BW565" s="36"/>
      <c r="BX565" s="36"/>
      <c r="BY565" s="36"/>
      <c r="BZ565" s="36"/>
      <c r="CY565" s="33"/>
    </row>
    <row r="566" spans="2:103" s="32" customFormat="1" x14ac:dyDescent="0.15">
      <c r="B566" s="33"/>
      <c r="E566" s="35"/>
      <c r="H566" s="33"/>
      <c r="N566" s="114"/>
      <c r="O566" s="34"/>
      <c r="P566" s="33"/>
      <c r="Q566" s="33"/>
      <c r="AA566" s="33"/>
      <c r="AB566" s="33"/>
      <c r="AC566" s="33"/>
      <c r="AD566" s="139"/>
      <c r="AE566" s="33"/>
      <c r="AL566" s="35"/>
      <c r="AV566" s="35"/>
      <c r="AW566" s="35"/>
      <c r="AX566" s="35"/>
      <c r="AY566" s="36"/>
      <c r="BF566" s="35"/>
      <c r="BG566" s="35"/>
      <c r="BO566" s="35"/>
      <c r="BP566" s="35"/>
      <c r="BW566" s="36"/>
      <c r="BX566" s="36"/>
      <c r="BY566" s="36"/>
      <c r="BZ566" s="36"/>
      <c r="CY566" s="33"/>
    </row>
    <row r="567" spans="2:103" s="32" customFormat="1" x14ac:dyDescent="0.15">
      <c r="B567" s="33"/>
      <c r="E567" s="35"/>
      <c r="H567" s="33"/>
      <c r="N567" s="114"/>
      <c r="O567" s="34"/>
      <c r="P567" s="33"/>
      <c r="Q567" s="33"/>
      <c r="AA567" s="33"/>
      <c r="AB567" s="33"/>
      <c r="AC567" s="33"/>
      <c r="AD567" s="139"/>
      <c r="AE567" s="33"/>
      <c r="AL567" s="35"/>
      <c r="AV567" s="35"/>
      <c r="AW567" s="35"/>
      <c r="AX567" s="35"/>
      <c r="AY567" s="36"/>
      <c r="BF567" s="35"/>
      <c r="BG567" s="35"/>
      <c r="BO567" s="35"/>
      <c r="BP567" s="35"/>
      <c r="BW567" s="36"/>
      <c r="BX567" s="36"/>
      <c r="BY567" s="36"/>
      <c r="BZ567" s="36"/>
      <c r="CY567" s="33"/>
    </row>
    <row r="568" spans="2:103" s="32" customFormat="1" x14ac:dyDescent="0.15">
      <c r="B568" s="33"/>
      <c r="E568" s="35"/>
      <c r="H568" s="33"/>
      <c r="N568" s="114"/>
      <c r="O568" s="34"/>
      <c r="P568" s="33"/>
      <c r="Q568" s="33"/>
      <c r="AA568" s="33"/>
      <c r="AB568" s="33"/>
      <c r="AC568" s="33"/>
      <c r="AD568" s="139"/>
      <c r="AE568" s="33"/>
      <c r="AL568" s="35"/>
      <c r="AV568" s="35"/>
      <c r="AW568" s="35"/>
      <c r="AX568" s="35"/>
      <c r="AY568" s="36"/>
      <c r="BF568" s="35"/>
      <c r="BG568" s="35"/>
      <c r="BO568" s="35"/>
      <c r="BP568" s="35"/>
      <c r="BW568" s="36"/>
      <c r="BX568" s="36"/>
      <c r="BY568" s="36"/>
      <c r="BZ568" s="36"/>
      <c r="CY568" s="33"/>
    </row>
    <row r="569" spans="2:103" s="32" customFormat="1" x14ac:dyDescent="0.15">
      <c r="B569" s="33"/>
      <c r="E569" s="35"/>
      <c r="H569" s="33"/>
      <c r="N569" s="114"/>
      <c r="O569" s="34"/>
      <c r="P569" s="33"/>
      <c r="Q569" s="33"/>
      <c r="AA569" s="33"/>
      <c r="AB569" s="33"/>
      <c r="AC569" s="33"/>
      <c r="AD569" s="139"/>
      <c r="AE569" s="33"/>
      <c r="AL569" s="35"/>
      <c r="AV569" s="35"/>
      <c r="AW569" s="35"/>
      <c r="AX569" s="35"/>
      <c r="AY569" s="36"/>
      <c r="BF569" s="35"/>
      <c r="BG569" s="35"/>
      <c r="BO569" s="35"/>
      <c r="BP569" s="35"/>
      <c r="BW569" s="36"/>
      <c r="BX569" s="36"/>
      <c r="BY569" s="36"/>
      <c r="BZ569" s="36"/>
      <c r="CY569" s="33"/>
    </row>
    <row r="570" spans="2:103" s="32" customFormat="1" x14ac:dyDescent="0.15">
      <c r="B570" s="33"/>
      <c r="E570" s="35"/>
      <c r="H570" s="33"/>
      <c r="N570" s="114"/>
      <c r="O570" s="34"/>
      <c r="P570" s="33"/>
      <c r="Q570" s="33"/>
      <c r="AA570" s="33"/>
      <c r="AB570" s="33"/>
      <c r="AC570" s="33"/>
      <c r="AD570" s="139"/>
      <c r="AE570" s="33"/>
      <c r="AL570" s="35"/>
      <c r="AV570" s="35"/>
      <c r="AW570" s="35"/>
      <c r="AX570" s="35"/>
      <c r="AY570" s="36"/>
      <c r="BF570" s="35"/>
      <c r="BG570" s="35"/>
      <c r="BO570" s="35"/>
      <c r="BP570" s="35"/>
      <c r="BW570" s="36"/>
      <c r="BX570" s="36"/>
      <c r="BY570" s="36"/>
      <c r="BZ570" s="36"/>
      <c r="CY570" s="33"/>
    </row>
    <row r="571" spans="2:103" s="32" customFormat="1" x14ac:dyDescent="0.15">
      <c r="B571" s="33"/>
      <c r="E571" s="35"/>
      <c r="H571" s="33"/>
      <c r="N571" s="114"/>
      <c r="O571" s="34"/>
      <c r="P571" s="33"/>
      <c r="Q571" s="33"/>
      <c r="AA571" s="33"/>
      <c r="AB571" s="33"/>
      <c r="AC571" s="33"/>
      <c r="AD571" s="139"/>
      <c r="AE571" s="33"/>
      <c r="AL571" s="35"/>
      <c r="AV571" s="35"/>
      <c r="AW571" s="35"/>
      <c r="AX571" s="35"/>
      <c r="AY571" s="36"/>
      <c r="BF571" s="35"/>
      <c r="BG571" s="35"/>
      <c r="BO571" s="35"/>
      <c r="BP571" s="35"/>
      <c r="BW571" s="36"/>
      <c r="BX571" s="36"/>
      <c r="BY571" s="36"/>
      <c r="BZ571" s="36"/>
      <c r="CY571" s="33"/>
    </row>
    <row r="572" spans="2:103" s="32" customFormat="1" x14ac:dyDescent="0.15">
      <c r="B572" s="33"/>
      <c r="E572" s="35"/>
      <c r="H572" s="33"/>
      <c r="N572" s="114"/>
      <c r="O572" s="34"/>
      <c r="P572" s="33"/>
      <c r="Q572" s="33"/>
      <c r="AA572" s="33"/>
      <c r="AB572" s="33"/>
      <c r="AC572" s="33"/>
      <c r="AD572" s="139"/>
      <c r="AE572" s="33"/>
      <c r="AL572" s="35"/>
      <c r="AV572" s="35"/>
      <c r="AW572" s="35"/>
      <c r="AX572" s="35"/>
      <c r="AY572" s="36"/>
      <c r="BF572" s="35"/>
      <c r="BG572" s="35"/>
      <c r="BO572" s="35"/>
      <c r="BP572" s="35"/>
      <c r="BW572" s="36"/>
      <c r="BX572" s="36"/>
      <c r="BY572" s="36"/>
      <c r="BZ572" s="36"/>
      <c r="CY572" s="33"/>
    </row>
    <row r="573" spans="2:103" s="32" customFormat="1" x14ac:dyDescent="0.15">
      <c r="B573" s="33"/>
      <c r="E573" s="35"/>
      <c r="H573" s="33"/>
      <c r="N573" s="114"/>
      <c r="O573" s="34"/>
      <c r="P573" s="33"/>
      <c r="Q573" s="33"/>
      <c r="AA573" s="33"/>
      <c r="AB573" s="33"/>
      <c r="AC573" s="33"/>
      <c r="AD573" s="139"/>
      <c r="AE573" s="33"/>
      <c r="AL573" s="35"/>
      <c r="AV573" s="35"/>
      <c r="AW573" s="35"/>
      <c r="AX573" s="35"/>
      <c r="AY573" s="36"/>
      <c r="BF573" s="35"/>
      <c r="BG573" s="35"/>
      <c r="BO573" s="35"/>
      <c r="BP573" s="35"/>
      <c r="BW573" s="36"/>
      <c r="BX573" s="36"/>
      <c r="BY573" s="36"/>
      <c r="BZ573" s="36"/>
      <c r="CY573" s="33"/>
    </row>
    <row r="574" spans="2:103" s="32" customFormat="1" x14ac:dyDescent="0.15">
      <c r="B574" s="33"/>
      <c r="E574" s="35"/>
      <c r="H574" s="33"/>
      <c r="N574" s="114"/>
      <c r="O574" s="34"/>
      <c r="P574" s="33"/>
      <c r="Q574" s="33"/>
      <c r="AA574" s="33"/>
      <c r="AB574" s="33"/>
      <c r="AC574" s="33"/>
      <c r="AD574" s="139"/>
      <c r="AE574" s="33"/>
      <c r="AL574" s="35"/>
      <c r="AV574" s="35"/>
      <c r="AW574" s="35"/>
      <c r="AX574" s="35"/>
      <c r="AY574" s="36"/>
      <c r="BF574" s="35"/>
      <c r="BG574" s="35"/>
      <c r="BO574" s="35"/>
      <c r="BP574" s="35"/>
      <c r="BW574" s="36"/>
      <c r="BX574" s="36"/>
      <c r="BY574" s="36"/>
      <c r="BZ574" s="36"/>
      <c r="CY574" s="33"/>
    </row>
    <row r="575" spans="2:103" s="32" customFormat="1" x14ac:dyDescent="0.15">
      <c r="B575" s="33"/>
      <c r="E575" s="35"/>
      <c r="H575" s="33"/>
      <c r="N575" s="114"/>
      <c r="O575" s="34"/>
      <c r="P575" s="33"/>
      <c r="Q575" s="33"/>
      <c r="AA575" s="33"/>
      <c r="AB575" s="33"/>
      <c r="AC575" s="33"/>
      <c r="AD575" s="139"/>
      <c r="AE575" s="33"/>
      <c r="AL575" s="35"/>
      <c r="AV575" s="35"/>
      <c r="AW575" s="35"/>
      <c r="AX575" s="35"/>
      <c r="AY575" s="36"/>
      <c r="BF575" s="35"/>
      <c r="BG575" s="35"/>
      <c r="BO575" s="35"/>
      <c r="BP575" s="35"/>
      <c r="BW575" s="36"/>
      <c r="BX575" s="36"/>
      <c r="BY575" s="36"/>
      <c r="BZ575" s="36"/>
      <c r="CY575" s="33"/>
    </row>
    <row r="576" spans="2:103" s="32" customFormat="1" x14ac:dyDescent="0.15">
      <c r="B576" s="33"/>
      <c r="E576" s="35"/>
      <c r="H576" s="33"/>
      <c r="N576" s="114"/>
      <c r="O576" s="34"/>
      <c r="P576" s="33"/>
      <c r="Q576" s="33"/>
      <c r="AA576" s="33"/>
      <c r="AB576" s="33"/>
      <c r="AC576" s="33"/>
      <c r="AD576" s="139"/>
      <c r="AE576" s="33"/>
      <c r="AL576" s="35"/>
      <c r="AV576" s="35"/>
      <c r="AW576" s="35"/>
      <c r="AX576" s="35"/>
      <c r="AY576" s="36"/>
      <c r="BF576" s="35"/>
      <c r="BG576" s="35"/>
      <c r="BO576" s="35"/>
      <c r="BP576" s="35"/>
      <c r="BW576" s="36"/>
      <c r="BX576" s="36"/>
      <c r="BY576" s="36"/>
      <c r="BZ576" s="36"/>
      <c r="CY576" s="33"/>
    </row>
    <row r="577" spans="2:103" s="32" customFormat="1" x14ac:dyDescent="0.15">
      <c r="B577" s="33"/>
      <c r="E577" s="35"/>
      <c r="H577" s="33"/>
      <c r="N577" s="114"/>
      <c r="O577" s="34"/>
      <c r="P577" s="33"/>
      <c r="Q577" s="33"/>
      <c r="AA577" s="33"/>
      <c r="AB577" s="33"/>
      <c r="AC577" s="33"/>
      <c r="AD577" s="139"/>
      <c r="AE577" s="33"/>
      <c r="AL577" s="35"/>
      <c r="AV577" s="35"/>
      <c r="AW577" s="35"/>
      <c r="AX577" s="35"/>
      <c r="AY577" s="36"/>
      <c r="BF577" s="35"/>
      <c r="BG577" s="35"/>
      <c r="BO577" s="35"/>
      <c r="BP577" s="35"/>
      <c r="BW577" s="36"/>
      <c r="BX577" s="36"/>
      <c r="BY577" s="36"/>
      <c r="BZ577" s="36"/>
      <c r="CY577" s="33"/>
    </row>
    <row r="578" spans="2:103" s="32" customFormat="1" x14ac:dyDescent="0.15">
      <c r="B578" s="33"/>
      <c r="E578" s="35"/>
      <c r="H578" s="33"/>
      <c r="N578" s="114"/>
      <c r="O578" s="34"/>
      <c r="P578" s="33"/>
      <c r="Q578" s="33"/>
      <c r="AA578" s="33"/>
      <c r="AB578" s="33"/>
      <c r="AC578" s="33"/>
      <c r="AD578" s="139"/>
      <c r="AE578" s="33"/>
      <c r="AL578" s="35"/>
      <c r="AV578" s="35"/>
      <c r="AW578" s="35"/>
      <c r="AX578" s="35"/>
      <c r="AY578" s="36"/>
      <c r="BF578" s="35"/>
      <c r="BG578" s="35"/>
      <c r="BO578" s="35"/>
      <c r="BP578" s="35"/>
      <c r="BW578" s="36"/>
      <c r="BX578" s="36"/>
      <c r="BY578" s="36"/>
      <c r="BZ578" s="36"/>
      <c r="CY578" s="33"/>
    </row>
    <row r="579" spans="2:103" s="32" customFormat="1" x14ac:dyDescent="0.15">
      <c r="B579" s="33"/>
      <c r="E579" s="35"/>
      <c r="H579" s="33"/>
      <c r="N579" s="114"/>
      <c r="O579" s="34"/>
      <c r="P579" s="33"/>
      <c r="Q579" s="33"/>
      <c r="AA579" s="33"/>
      <c r="AB579" s="33"/>
      <c r="AC579" s="33"/>
      <c r="AD579" s="139"/>
      <c r="AE579" s="33"/>
      <c r="AL579" s="35"/>
      <c r="AV579" s="35"/>
      <c r="AW579" s="35"/>
      <c r="AX579" s="35"/>
      <c r="AY579" s="36"/>
      <c r="BF579" s="35"/>
      <c r="BG579" s="35"/>
      <c r="BO579" s="35"/>
      <c r="BP579" s="35"/>
      <c r="BW579" s="36"/>
      <c r="BX579" s="36"/>
      <c r="BY579" s="36"/>
      <c r="BZ579" s="36"/>
      <c r="CY579" s="33"/>
    </row>
    <row r="580" spans="2:103" s="32" customFormat="1" x14ac:dyDescent="0.15">
      <c r="B580" s="33"/>
      <c r="E580" s="35"/>
      <c r="H580" s="33"/>
      <c r="N580" s="114"/>
      <c r="O580" s="34"/>
      <c r="P580" s="33"/>
      <c r="Q580" s="33"/>
      <c r="AA580" s="33"/>
      <c r="AB580" s="33"/>
      <c r="AC580" s="33"/>
      <c r="AD580" s="139"/>
      <c r="AE580" s="33"/>
      <c r="AL580" s="35"/>
      <c r="AV580" s="35"/>
      <c r="AW580" s="35"/>
      <c r="AX580" s="35"/>
      <c r="AY580" s="36"/>
      <c r="BF580" s="35"/>
      <c r="BG580" s="35"/>
      <c r="BO580" s="35"/>
      <c r="BP580" s="35"/>
      <c r="BW580" s="36"/>
      <c r="BX580" s="36"/>
      <c r="BY580" s="36"/>
      <c r="BZ580" s="36"/>
      <c r="CY580" s="33"/>
    </row>
    <row r="581" spans="2:103" s="32" customFormat="1" x14ac:dyDescent="0.15">
      <c r="B581" s="33"/>
      <c r="E581" s="35"/>
      <c r="H581" s="33"/>
      <c r="N581" s="114"/>
      <c r="O581" s="34"/>
      <c r="P581" s="33"/>
      <c r="Q581" s="33"/>
      <c r="AA581" s="33"/>
      <c r="AB581" s="33"/>
      <c r="AC581" s="33"/>
      <c r="AD581" s="139"/>
      <c r="AE581" s="33"/>
      <c r="AL581" s="35"/>
      <c r="AV581" s="35"/>
      <c r="AW581" s="35"/>
      <c r="AX581" s="35"/>
      <c r="AY581" s="36"/>
      <c r="BF581" s="35"/>
      <c r="BG581" s="35"/>
      <c r="BO581" s="35"/>
      <c r="BP581" s="35"/>
      <c r="BW581" s="36"/>
      <c r="BX581" s="36"/>
      <c r="BY581" s="36"/>
      <c r="BZ581" s="36"/>
      <c r="CY581" s="33"/>
    </row>
    <row r="582" spans="2:103" s="32" customFormat="1" x14ac:dyDescent="0.15">
      <c r="B582" s="33"/>
      <c r="E582" s="35"/>
      <c r="H582" s="33"/>
      <c r="N582" s="114"/>
      <c r="O582" s="34"/>
      <c r="P582" s="33"/>
      <c r="Q582" s="33"/>
      <c r="AA582" s="33"/>
      <c r="AB582" s="33"/>
      <c r="AC582" s="33"/>
      <c r="AD582" s="139"/>
      <c r="AE582" s="33"/>
      <c r="AL582" s="35"/>
      <c r="AV582" s="35"/>
      <c r="AW582" s="35"/>
      <c r="AX582" s="35"/>
      <c r="AY582" s="36"/>
      <c r="BF582" s="35"/>
      <c r="BG582" s="35"/>
      <c r="BO582" s="35"/>
      <c r="BP582" s="35"/>
      <c r="BW582" s="36"/>
      <c r="BX582" s="36"/>
      <c r="BY582" s="36"/>
      <c r="BZ582" s="36"/>
      <c r="CY582" s="33"/>
    </row>
    <row r="583" spans="2:103" s="32" customFormat="1" x14ac:dyDescent="0.15">
      <c r="B583" s="33"/>
      <c r="E583" s="35"/>
      <c r="H583" s="33"/>
      <c r="N583" s="114"/>
      <c r="O583" s="34"/>
      <c r="P583" s="33"/>
      <c r="Q583" s="33"/>
      <c r="AA583" s="33"/>
      <c r="AB583" s="33"/>
      <c r="AC583" s="33"/>
      <c r="AD583" s="139"/>
      <c r="AE583" s="33"/>
      <c r="AL583" s="35"/>
      <c r="AV583" s="35"/>
      <c r="AW583" s="35"/>
      <c r="AX583" s="35"/>
      <c r="AY583" s="36"/>
      <c r="BF583" s="35"/>
      <c r="BG583" s="35"/>
      <c r="BO583" s="35"/>
      <c r="BP583" s="35"/>
      <c r="BW583" s="36"/>
      <c r="BX583" s="36"/>
      <c r="BY583" s="36"/>
      <c r="BZ583" s="36"/>
      <c r="CY583" s="33"/>
    </row>
    <row r="584" spans="2:103" s="32" customFormat="1" x14ac:dyDescent="0.15">
      <c r="B584" s="33"/>
      <c r="E584" s="35"/>
      <c r="H584" s="33"/>
      <c r="N584" s="114"/>
      <c r="O584" s="34"/>
      <c r="P584" s="33"/>
      <c r="Q584" s="33"/>
      <c r="AA584" s="33"/>
      <c r="AB584" s="33"/>
      <c r="AC584" s="33"/>
      <c r="AD584" s="139"/>
      <c r="AE584" s="33"/>
      <c r="AL584" s="35"/>
      <c r="AV584" s="35"/>
      <c r="AW584" s="35"/>
      <c r="AX584" s="35"/>
      <c r="AY584" s="36"/>
      <c r="BF584" s="35"/>
      <c r="BG584" s="35"/>
      <c r="BO584" s="35"/>
      <c r="BP584" s="35"/>
      <c r="BW584" s="36"/>
      <c r="BX584" s="36"/>
      <c r="BY584" s="36"/>
      <c r="BZ584" s="36"/>
      <c r="CY584" s="33"/>
    </row>
    <row r="585" spans="2:103" s="32" customFormat="1" x14ac:dyDescent="0.15">
      <c r="B585" s="33"/>
      <c r="E585" s="35"/>
      <c r="H585" s="33"/>
      <c r="N585" s="114"/>
      <c r="O585" s="34"/>
      <c r="P585" s="33"/>
      <c r="Q585" s="33"/>
      <c r="AA585" s="33"/>
      <c r="AB585" s="33"/>
      <c r="AC585" s="33"/>
      <c r="AD585" s="139"/>
      <c r="AE585" s="33"/>
      <c r="AL585" s="35"/>
      <c r="AV585" s="35"/>
      <c r="AW585" s="35"/>
      <c r="AX585" s="35"/>
      <c r="AY585" s="36"/>
      <c r="BF585" s="35"/>
      <c r="BG585" s="35"/>
      <c r="BO585" s="35"/>
      <c r="BP585" s="35"/>
      <c r="BW585" s="36"/>
      <c r="BX585" s="36"/>
      <c r="BY585" s="36"/>
      <c r="BZ585" s="36"/>
      <c r="CY585" s="33"/>
    </row>
    <row r="586" spans="2:103" s="32" customFormat="1" x14ac:dyDescent="0.15">
      <c r="B586" s="33"/>
      <c r="E586" s="35"/>
      <c r="H586" s="33"/>
      <c r="N586" s="114"/>
      <c r="O586" s="34"/>
      <c r="P586" s="33"/>
      <c r="Q586" s="33"/>
      <c r="AA586" s="33"/>
      <c r="AB586" s="33"/>
      <c r="AC586" s="33"/>
      <c r="AD586" s="139"/>
      <c r="AE586" s="33"/>
      <c r="AL586" s="35"/>
      <c r="AV586" s="35"/>
      <c r="AW586" s="35"/>
      <c r="AX586" s="35"/>
      <c r="AY586" s="36"/>
      <c r="BF586" s="35"/>
      <c r="BG586" s="35"/>
      <c r="BO586" s="35"/>
      <c r="BP586" s="35"/>
      <c r="BW586" s="36"/>
      <c r="BX586" s="36"/>
      <c r="BY586" s="36"/>
      <c r="BZ586" s="36"/>
      <c r="CY586" s="33"/>
    </row>
    <row r="587" spans="2:103" s="32" customFormat="1" x14ac:dyDescent="0.15">
      <c r="B587" s="33"/>
      <c r="E587" s="35"/>
      <c r="H587" s="33"/>
      <c r="N587" s="114"/>
      <c r="O587" s="34"/>
      <c r="P587" s="33"/>
      <c r="Q587" s="33"/>
      <c r="AA587" s="33"/>
      <c r="AB587" s="33"/>
      <c r="AC587" s="33"/>
      <c r="AD587" s="139"/>
      <c r="AE587" s="33"/>
      <c r="AL587" s="35"/>
      <c r="AV587" s="35"/>
      <c r="AW587" s="35"/>
      <c r="AX587" s="35"/>
      <c r="AY587" s="36"/>
      <c r="BF587" s="35"/>
      <c r="BG587" s="35"/>
      <c r="BO587" s="35"/>
      <c r="BP587" s="35"/>
      <c r="BW587" s="36"/>
      <c r="BX587" s="36"/>
      <c r="BY587" s="36"/>
      <c r="BZ587" s="36"/>
      <c r="CY587" s="33"/>
    </row>
    <row r="588" spans="2:103" s="32" customFormat="1" x14ac:dyDescent="0.15">
      <c r="B588" s="33"/>
      <c r="E588" s="35"/>
      <c r="H588" s="33"/>
      <c r="N588" s="114"/>
      <c r="O588" s="34"/>
      <c r="P588" s="33"/>
      <c r="Q588" s="33"/>
      <c r="AA588" s="33"/>
      <c r="AB588" s="33"/>
      <c r="AC588" s="33"/>
      <c r="AD588" s="139"/>
      <c r="AE588" s="33"/>
      <c r="AL588" s="35"/>
      <c r="AV588" s="35"/>
      <c r="AW588" s="35"/>
      <c r="AX588" s="35"/>
      <c r="AY588" s="36"/>
      <c r="BF588" s="35"/>
      <c r="BG588" s="35"/>
      <c r="BO588" s="35"/>
      <c r="BP588" s="35"/>
      <c r="BW588" s="36"/>
      <c r="BX588" s="36"/>
      <c r="BY588" s="36"/>
      <c r="BZ588" s="36"/>
      <c r="CY588" s="33"/>
    </row>
    <row r="589" spans="2:103" s="32" customFormat="1" x14ac:dyDescent="0.15">
      <c r="B589" s="33"/>
      <c r="E589" s="35"/>
      <c r="H589" s="33"/>
      <c r="N589" s="114"/>
      <c r="O589" s="34"/>
      <c r="P589" s="33"/>
      <c r="Q589" s="33"/>
      <c r="AA589" s="33"/>
      <c r="AB589" s="33"/>
      <c r="AC589" s="33"/>
      <c r="AD589" s="139"/>
      <c r="AE589" s="33"/>
      <c r="AL589" s="35"/>
      <c r="AV589" s="35"/>
      <c r="AW589" s="35"/>
      <c r="AX589" s="35"/>
      <c r="AY589" s="36"/>
      <c r="BF589" s="35"/>
      <c r="BG589" s="35"/>
      <c r="BO589" s="35"/>
      <c r="BP589" s="35"/>
      <c r="BW589" s="36"/>
      <c r="BX589" s="36"/>
      <c r="BY589" s="36"/>
      <c r="BZ589" s="36"/>
      <c r="CY589" s="33"/>
    </row>
    <row r="590" spans="2:103" s="32" customFormat="1" x14ac:dyDescent="0.15">
      <c r="B590" s="33"/>
      <c r="E590" s="35"/>
      <c r="H590" s="33"/>
      <c r="N590" s="114"/>
      <c r="O590" s="34"/>
      <c r="P590" s="33"/>
      <c r="Q590" s="33"/>
      <c r="AA590" s="33"/>
      <c r="AB590" s="33"/>
      <c r="AC590" s="33"/>
      <c r="AD590" s="139"/>
      <c r="AE590" s="33"/>
      <c r="AL590" s="35"/>
      <c r="AV590" s="35"/>
      <c r="AW590" s="35"/>
      <c r="AX590" s="35"/>
      <c r="AY590" s="36"/>
      <c r="BF590" s="35"/>
      <c r="BG590" s="35"/>
      <c r="BO590" s="35"/>
      <c r="BP590" s="35"/>
      <c r="BW590" s="36"/>
      <c r="BX590" s="36"/>
      <c r="BY590" s="36"/>
      <c r="BZ590" s="36"/>
      <c r="CY590" s="33"/>
    </row>
    <row r="591" spans="2:103" s="32" customFormat="1" x14ac:dyDescent="0.15">
      <c r="B591" s="33"/>
      <c r="E591" s="35"/>
      <c r="H591" s="33"/>
      <c r="N591" s="114"/>
      <c r="O591" s="34"/>
      <c r="P591" s="33"/>
      <c r="Q591" s="33"/>
      <c r="AA591" s="33"/>
      <c r="AB591" s="33"/>
      <c r="AC591" s="33"/>
      <c r="AD591" s="139"/>
      <c r="AE591" s="33"/>
      <c r="AL591" s="35"/>
      <c r="AV591" s="35"/>
      <c r="AW591" s="35"/>
      <c r="AX591" s="35"/>
      <c r="AY591" s="36"/>
      <c r="BF591" s="35"/>
      <c r="BG591" s="35"/>
      <c r="BO591" s="35"/>
      <c r="BP591" s="35"/>
      <c r="BW591" s="36"/>
      <c r="BX591" s="36"/>
      <c r="BY591" s="36"/>
      <c r="BZ591" s="36"/>
      <c r="CY591" s="33"/>
    </row>
    <row r="592" spans="2:103" s="32" customFormat="1" x14ac:dyDescent="0.15">
      <c r="B592" s="33"/>
      <c r="E592" s="35"/>
      <c r="H592" s="33"/>
      <c r="N592" s="114"/>
      <c r="O592" s="34"/>
      <c r="P592" s="33"/>
      <c r="Q592" s="33"/>
      <c r="AA592" s="33"/>
      <c r="AB592" s="33"/>
      <c r="AC592" s="33"/>
      <c r="AD592" s="139"/>
      <c r="AE592" s="33"/>
      <c r="AL592" s="35"/>
      <c r="AV592" s="35"/>
      <c r="AW592" s="35"/>
      <c r="AX592" s="35"/>
      <c r="AY592" s="36"/>
      <c r="BF592" s="35"/>
      <c r="BG592" s="35"/>
      <c r="BO592" s="35"/>
      <c r="BP592" s="35"/>
      <c r="BW592" s="36"/>
      <c r="BX592" s="36"/>
      <c r="BY592" s="36"/>
      <c r="BZ592" s="36"/>
      <c r="CY592" s="33"/>
    </row>
    <row r="593" spans="2:103" s="32" customFormat="1" x14ac:dyDescent="0.15">
      <c r="B593" s="33"/>
      <c r="E593" s="35"/>
      <c r="H593" s="33"/>
      <c r="N593" s="114"/>
      <c r="O593" s="34"/>
      <c r="P593" s="33"/>
      <c r="Q593" s="33"/>
      <c r="AA593" s="33"/>
      <c r="AB593" s="33"/>
      <c r="AC593" s="33"/>
      <c r="AD593" s="139"/>
      <c r="AE593" s="33"/>
      <c r="AL593" s="35"/>
      <c r="AV593" s="35"/>
      <c r="AW593" s="35"/>
      <c r="AX593" s="35"/>
      <c r="AY593" s="36"/>
      <c r="BF593" s="35"/>
      <c r="BG593" s="35"/>
      <c r="BO593" s="35"/>
      <c r="BP593" s="35"/>
      <c r="BW593" s="36"/>
      <c r="BX593" s="36"/>
      <c r="BY593" s="36"/>
      <c r="BZ593" s="36"/>
      <c r="CY593" s="33"/>
    </row>
    <row r="594" spans="2:103" s="32" customFormat="1" x14ac:dyDescent="0.15">
      <c r="B594" s="33"/>
      <c r="E594" s="35"/>
      <c r="H594" s="33"/>
      <c r="N594" s="114"/>
      <c r="O594" s="34"/>
      <c r="P594" s="33"/>
      <c r="Q594" s="33"/>
      <c r="AA594" s="33"/>
      <c r="AB594" s="33"/>
      <c r="AC594" s="33"/>
      <c r="AD594" s="139"/>
      <c r="AE594" s="33"/>
      <c r="AL594" s="35"/>
      <c r="AV594" s="35"/>
      <c r="AW594" s="35"/>
      <c r="AX594" s="35"/>
      <c r="AY594" s="36"/>
      <c r="BF594" s="35"/>
      <c r="BG594" s="35"/>
      <c r="BO594" s="35"/>
      <c r="BP594" s="35"/>
      <c r="BW594" s="36"/>
      <c r="BX594" s="36"/>
      <c r="BY594" s="36"/>
      <c r="BZ594" s="36"/>
      <c r="CY594" s="33"/>
    </row>
    <row r="595" spans="2:103" s="32" customFormat="1" x14ac:dyDescent="0.15">
      <c r="B595" s="33"/>
      <c r="E595" s="35"/>
      <c r="H595" s="33"/>
      <c r="N595" s="114"/>
      <c r="O595" s="34"/>
      <c r="P595" s="33"/>
      <c r="Q595" s="33"/>
      <c r="AA595" s="33"/>
      <c r="AB595" s="33"/>
      <c r="AC595" s="33"/>
      <c r="AD595" s="139"/>
      <c r="AE595" s="33"/>
      <c r="AL595" s="35"/>
      <c r="AV595" s="35"/>
      <c r="AW595" s="35"/>
      <c r="AX595" s="35"/>
      <c r="AY595" s="36"/>
      <c r="BF595" s="35"/>
      <c r="BG595" s="35"/>
      <c r="BO595" s="35"/>
      <c r="BP595" s="35"/>
      <c r="BW595" s="36"/>
      <c r="BX595" s="36"/>
      <c r="BY595" s="36"/>
      <c r="BZ595" s="36"/>
      <c r="CY595" s="33"/>
    </row>
    <row r="596" spans="2:103" s="32" customFormat="1" x14ac:dyDescent="0.15">
      <c r="B596" s="33"/>
      <c r="E596" s="35"/>
      <c r="H596" s="33"/>
      <c r="N596" s="114"/>
      <c r="O596" s="34"/>
      <c r="P596" s="33"/>
      <c r="Q596" s="33"/>
      <c r="AA596" s="33"/>
      <c r="AB596" s="33"/>
      <c r="AC596" s="33"/>
      <c r="AD596" s="139"/>
      <c r="AE596" s="33"/>
      <c r="AL596" s="35"/>
      <c r="AV596" s="35"/>
      <c r="AW596" s="35"/>
      <c r="AX596" s="35"/>
      <c r="AY596" s="36"/>
      <c r="BF596" s="35"/>
      <c r="BG596" s="35"/>
      <c r="BO596" s="35"/>
      <c r="BP596" s="35"/>
      <c r="BW596" s="36"/>
      <c r="BX596" s="36"/>
      <c r="BY596" s="36"/>
      <c r="BZ596" s="36"/>
      <c r="CY596" s="33"/>
    </row>
    <row r="597" spans="2:103" s="32" customFormat="1" x14ac:dyDescent="0.15">
      <c r="B597" s="33"/>
      <c r="E597" s="35"/>
      <c r="H597" s="33"/>
      <c r="N597" s="114"/>
      <c r="O597" s="34"/>
      <c r="P597" s="33"/>
      <c r="Q597" s="33"/>
      <c r="AA597" s="33"/>
      <c r="AB597" s="33"/>
      <c r="AC597" s="33"/>
      <c r="AD597" s="139"/>
      <c r="AE597" s="33"/>
      <c r="AL597" s="35"/>
      <c r="AV597" s="35"/>
      <c r="AW597" s="35"/>
      <c r="AX597" s="35"/>
      <c r="AY597" s="36"/>
      <c r="BF597" s="35"/>
      <c r="BG597" s="35"/>
      <c r="BO597" s="35"/>
      <c r="BP597" s="35"/>
      <c r="BW597" s="36"/>
      <c r="BX597" s="36"/>
      <c r="BY597" s="36"/>
      <c r="BZ597" s="36"/>
      <c r="CY597" s="33"/>
    </row>
    <row r="598" spans="2:103" s="32" customFormat="1" x14ac:dyDescent="0.15">
      <c r="B598" s="33"/>
      <c r="E598" s="35"/>
      <c r="H598" s="33"/>
      <c r="N598" s="114"/>
      <c r="O598" s="34"/>
      <c r="P598" s="33"/>
      <c r="Q598" s="33"/>
      <c r="AA598" s="33"/>
      <c r="AB598" s="33"/>
      <c r="AC598" s="33"/>
      <c r="AD598" s="139"/>
      <c r="AE598" s="33"/>
      <c r="AL598" s="35"/>
      <c r="AV598" s="35"/>
      <c r="AW598" s="35"/>
      <c r="AX598" s="35"/>
      <c r="AY598" s="36"/>
      <c r="BF598" s="35"/>
      <c r="BG598" s="35"/>
      <c r="BO598" s="35"/>
      <c r="BP598" s="35"/>
      <c r="BW598" s="36"/>
      <c r="BX598" s="36"/>
      <c r="BY598" s="36"/>
      <c r="BZ598" s="36"/>
      <c r="CY598" s="33"/>
    </row>
    <row r="599" spans="2:103" s="32" customFormat="1" x14ac:dyDescent="0.15">
      <c r="B599" s="33"/>
      <c r="E599" s="35"/>
      <c r="H599" s="33"/>
      <c r="N599" s="114"/>
      <c r="O599" s="34"/>
      <c r="P599" s="33"/>
      <c r="Q599" s="33"/>
      <c r="AA599" s="33"/>
      <c r="AB599" s="33"/>
      <c r="AC599" s="33"/>
      <c r="AD599" s="139"/>
      <c r="AE599" s="33"/>
      <c r="AL599" s="35"/>
      <c r="AV599" s="35"/>
      <c r="AW599" s="35"/>
      <c r="AX599" s="35"/>
      <c r="AY599" s="36"/>
      <c r="BF599" s="35"/>
      <c r="BG599" s="35"/>
      <c r="BO599" s="35"/>
      <c r="BP599" s="35"/>
      <c r="BW599" s="36"/>
      <c r="BX599" s="36"/>
      <c r="BY599" s="36"/>
      <c r="BZ599" s="36"/>
      <c r="CY599" s="33"/>
    </row>
    <row r="600" spans="2:103" s="32" customFormat="1" x14ac:dyDescent="0.15">
      <c r="B600" s="33"/>
      <c r="E600" s="35"/>
      <c r="H600" s="33"/>
      <c r="N600" s="114"/>
      <c r="O600" s="34"/>
      <c r="P600" s="33"/>
      <c r="Q600" s="33"/>
      <c r="AA600" s="33"/>
      <c r="AB600" s="33"/>
      <c r="AC600" s="33"/>
      <c r="AD600" s="139"/>
      <c r="AE600" s="33"/>
      <c r="AL600" s="35"/>
      <c r="AV600" s="35"/>
      <c r="AW600" s="35"/>
      <c r="AX600" s="35"/>
      <c r="AY600" s="36"/>
      <c r="BF600" s="35"/>
      <c r="BG600" s="35"/>
      <c r="BO600" s="35"/>
      <c r="BP600" s="35"/>
      <c r="BW600" s="36"/>
      <c r="BX600" s="36"/>
      <c r="BY600" s="36"/>
      <c r="BZ600" s="36"/>
      <c r="CY600" s="33"/>
    </row>
    <row r="601" spans="2:103" s="32" customFormat="1" x14ac:dyDescent="0.15">
      <c r="B601" s="33"/>
      <c r="E601" s="35"/>
      <c r="H601" s="33"/>
      <c r="N601" s="114"/>
      <c r="O601" s="34"/>
      <c r="P601" s="33"/>
      <c r="Q601" s="33"/>
      <c r="AA601" s="33"/>
      <c r="AB601" s="33"/>
      <c r="AC601" s="33"/>
      <c r="AD601" s="139"/>
      <c r="AE601" s="33"/>
      <c r="AL601" s="35"/>
      <c r="AV601" s="35"/>
      <c r="AW601" s="35"/>
      <c r="AX601" s="35"/>
      <c r="AY601" s="36"/>
      <c r="BF601" s="35"/>
      <c r="BG601" s="35"/>
      <c r="BO601" s="35"/>
      <c r="BP601" s="35"/>
      <c r="BW601" s="36"/>
      <c r="BX601" s="36"/>
      <c r="BY601" s="36"/>
      <c r="BZ601" s="36"/>
      <c r="CY601" s="33"/>
    </row>
    <row r="602" spans="2:103" s="32" customFormat="1" x14ac:dyDescent="0.15">
      <c r="B602" s="33"/>
      <c r="E602" s="35"/>
      <c r="H602" s="33"/>
      <c r="N602" s="114"/>
      <c r="O602" s="34"/>
      <c r="P602" s="33"/>
      <c r="Q602" s="33"/>
      <c r="AA602" s="33"/>
      <c r="AB602" s="33"/>
      <c r="AC602" s="33"/>
      <c r="AD602" s="139"/>
      <c r="AE602" s="33"/>
      <c r="AL602" s="35"/>
      <c r="AV602" s="35"/>
      <c r="AW602" s="35"/>
      <c r="AX602" s="35"/>
      <c r="AY602" s="36"/>
      <c r="BF602" s="35"/>
      <c r="BG602" s="35"/>
      <c r="BO602" s="35"/>
      <c r="BP602" s="35"/>
      <c r="BW602" s="36"/>
      <c r="BX602" s="36"/>
      <c r="BY602" s="36"/>
      <c r="BZ602" s="36"/>
      <c r="CY602" s="33"/>
    </row>
    <row r="603" spans="2:103" s="32" customFormat="1" x14ac:dyDescent="0.15">
      <c r="B603" s="33"/>
      <c r="E603" s="35"/>
      <c r="H603" s="33"/>
      <c r="N603" s="114"/>
      <c r="O603" s="34"/>
      <c r="P603" s="33"/>
      <c r="Q603" s="33"/>
      <c r="AA603" s="33"/>
      <c r="AB603" s="33"/>
      <c r="AC603" s="33"/>
      <c r="AD603" s="139"/>
      <c r="AE603" s="33"/>
      <c r="AL603" s="35"/>
      <c r="AV603" s="35"/>
      <c r="AW603" s="35"/>
      <c r="AX603" s="35"/>
      <c r="AY603" s="36"/>
      <c r="BF603" s="35"/>
      <c r="BG603" s="35"/>
      <c r="BO603" s="35"/>
      <c r="BP603" s="35"/>
      <c r="BW603" s="36"/>
      <c r="BX603" s="36"/>
      <c r="BY603" s="36"/>
      <c r="BZ603" s="36"/>
      <c r="CY603" s="33"/>
    </row>
    <row r="604" spans="2:103" s="32" customFormat="1" x14ac:dyDescent="0.15">
      <c r="B604" s="33"/>
      <c r="E604" s="35"/>
      <c r="H604" s="33"/>
      <c r="N604" s="114"/>
      <c r="O604" s="34"/>
      <c r="P604" s="33"/>
      <c r="Q604" s="33"/>
      <c r="AA604" s="33"/>
      <c r="AB604" s="33"/>
      <c r="AC604" s="33"/>
      <c r="AD604" s="139"/>
      <c r="AE604" s="33"/>
      <c r="AL604" s="35"/>
      <c r="AV604" s="35"/>
      <c r="AW604" s="35"/>
      <c r="AX604" s="35"/>
      <c r="AY604" s="36"/>
      <c r="BF604" s="35"/>
      <c r="BG604" s="35"/>
      <c r="BO604" s="35"/>
      <c r="BP604" s="35"/>
      <c r="BW604" s="36"/>
      <c r="BX604" s="36"/>
      <c r="BY604" s="36"/>
      <c r="BZ604" s="36"/>
      <c r="CY604" s="33"/>
    </row>
    <row r="605" spans="2:103" s="32" customFormat="1" x14ac:dyDescent="0.15">
      <c r="B605" s="33"/>
      <c r="E605" s="35"/>
      <c r="H605" s="33"/>
      <c r="N605" s="114"/>
      <c r="O605" s="34"/>
      <c r="P605" s="33"/>
      <c r="Q605" s="33"/>
      <c r="AA605" s="33"/>
      <c r="AB605" s="33"/>
      <c r="AC605" s="33"/>
      <c r="AD605" s="139"/>
      <c r="AE605" s="33"/>
      <c r="AL605" s="35"/>
      <c r="AV605" s="35"/>
      <c r="AW605" s="35"/>
      <c r="AX605" s="35"/>
      <c r="AY605" s="36"/>
      <c r="BF605" s="35"/>
      <c r="BG605" s="35"/>
      <c r="BO605" s="35"/>
      <c r="BP605" s="35"/>
      <c r="BW605" s="36"/>
      <c r="BX605" s="36"/>
      <c r="BY605" s="36"/>
      <c r="BZ605" s="36"/>
      <c r="CY605" s="33"/>
    </row>
    <row r="606" spans="2:103" s="32" customFormat="1" x14ac:dyDescent="0.15">
      <c r="B606" s="33"/>
      <c r="E606" s="35"/>
      <c r="H606" s="33"/>
      <c r="N606" s="114"/>
      <c r="O606" s="34"/>
      <c r="P606" s="33"/>
      <c r="Q606" s="33"/>
      <c r="AA606" s="33"/>
      <c r="AB606" s="33"/>
      <c r="AC606" s="33"/>
      <c r="AD606" s="139"/>
      <c r="AE606" s="33"/>
      <c r="AL606" s="35"/>
      <c r="AV606" s="35"/>
      <c r="AW606" s="35"/>
      <c r="AX606" s="35"/>
      <c r="AY606" s="36"/>
      <c r="BF606" s="35"/>
      <c r="BG606" s="35"/>
      <c r="BO606" s="35"/>
      <c r="BP606" s="35"/>
      <c r="BW606" s="36"/>
      <c r="BX606" s="36"/>
      <c r="BY606" s="36"/>
      <c r="BZ606" s="36"/>
      <c r="CY606" s="33"/>
    </row>
    <row r="607" spans="2:103" s="32" customFormat="1" x14ac:dyDescent="0.15">
      <c r="B607" s="33"/>
      <c r="E607" s="35"/>
      <c r="H607" s="33"/>
      <c r="N607" s="114"/>
      <c r="O607" s="34"/>
      <c r="P607" s="33"/>
      <c r="Q607" s="33"/>
      <c r="AA607" s="33"/>
      <c r="AB607" s="33"/>
      <c r="AC607" s="33"/>
      <c r="AD607" s="139"/>
      <c r="AE607" s="33"/>
      <c r="AL607" s="35"/>
      <c r="AV607" s="35"/>
      <c r="AW607" s="35"/>
      <c r="AX607" s="35"/>
      <c r="AY607" s="36"/>
      <c r="BF607" s="35"/>
      <c r="BG607" s="35"/>
      <c r="BO607" s="35"/>
      <c r="BP607" s="35"/>
      <c r="BW607" s="36"/>
      <c r="BX607" s="36"/>
      <c r="BY607" s="36"/>
      <c r="BZ607" s="36"/>
      <c r="CY607" s="33"/>
    </row>
    <row r="608" spans="2:103" s="32" customFormat="1" x14ac:dyDescent="0.15">
      <c r="B608" s="33"/>
      <c r="E608" s="35"/>
      <c r="H608" s="33"/>
      <c r="N608" s="114"/>
      <c r="O608" s="34"/>
      <c r="P608" s="33"/>
      <c r="Q608" s="33"/>
      <c r="AA608" s="33"/>
      <c r="AB608" s="33"/>
      <c r="AC608" s="33"/>
      <c r="AD608" s="139"/>
      <c r="AE608" s="33"/>
      <c r="AL608" s="35"/>
      <c r="AV608" s="35"/>
      <c r="AW608" s="35"/>
      <c r="AX608" s="35"/>
      <c r="AY608" s="36"/>
      <c r="BF608" s="35"/>
      <c r="BG608" s="35"/>
      <c r="BO608" s="35"/>
      <c r="BP608" s="35"/>
      <c r="BW608" s="36"/>
      <c r="BX608" s="36"/>
      <c r="BY608" s="36"/>
      <c r="BZ608" s="36"/>
      <c r="CY608" s="33"/>
    </row>
    <row r="609" spans="2:103" s="32" customFormat="1" x14ac:dyDescent="0.15">
      <c r="B609" s="33"/>
      <c r="E609" s="35"/>
      <c r="H609" s="33"/>
      <c r="N609" s="114"/>
      <c r="O609" s="34"/>
      <c r="P609" s="33"/>
      <c r="Q609" s="33"/>
      <c r="AA609" s="33"/>
      <c r="AB609" s="33"/>
      <c r="AC609" s="33"/>
      <c r="AD609" s="139"/>
      <c r="AE609" s="33"/>
      <c r="AL609" s="35"/>
      <c r="AV609" s="35"/>
      <c r="AW609" s="35"/>
      <c r="AX609" s="35"/>
      <c r="AY609" s="36"/>
      <c r="BF609" s="35"/>
      <c r="BG609" s="35"/>
      <c r="BO609" s="35"/>
      <c r="BP609" s="35"/>
      <c r="BW609" s="36"/>
      <c r="BX609" s="36"/>
      <c r="BY609" s="36"/>
      <c r="BZ609" s="36"/>
      <c r="CY609" s="33"/>
    </row>
    <row r="610" spans="2:103" s="32" customFormat="1" x14ac:dyDescent="0.15">
      <c r="B610" s="33"/>
      <c r="E610" s="35"/>
      <c r="H610" s="33"/>
      <c r="N610" s="114"/>
      <c r="O610" s="34"/>
      <c r="P610" s="33"/>
      <c r="Q610" s="33"/>
      <c r="AA610" s="33"/>
      <c r="AB610" s="33"/>
      <c r="AC610" s="33"/>
      <c r="AD610" s="139"/>
      <c r="AE610" s="33"/>
      <c r="AL610" s="35"/>
      <c r="AV610" s="35"/>
      <c r="AW610" s="35"/>
      <c r="AX610" s="35"/>
      <c r="AY610" s="36"/>
      <c r="BF610" s="35"/>
      <c r="BG610" s="35"/>
      <c r="BO610" s="35"/>
      <c r="BP610" s="35"/>
      <c r="BW610" s="36"/>
      <c r="BX610" s="36"/>
      <c r="BY610" s="36"/>
      <c r="BZ610" s="36"/>
      <c r="CY610" s="33"/>
    </row>
    <row r="611" spans="2:103" s="32" customFormat="1" x14ac:dyDescent="0.15">
      <c r="B611" s="33"/>
      <c r="E611" s="35"/>
      <c r="H611" s="33"/>
      <c r="N611" s="114"/>
      <c r="O611" s="34"/>
      <c r="P611" s="33"/>
      <c r="Q611" s="33"/>
      <c r="AA611" s="33"/>
      <c r="AB611" s="33"/>
      <c r="AC611" s="33"/>
      <c r="AD611" s="139"/>
      <c r="AE611" s="33"/>
      <c r="AL611" s="35"/>
      <c r="AV611" s="35"/>
      <c r="AW611" s="35"/>
      <c r="AX611" s="35"/>
      <c r="AY611" s="36"/>
      <c r="BF611" s="35"/>
      <c r="BG611" s="35"/>
      <c r="BO611" s="35"/>
      <c r="BP611" s="35"/>
      <c r="BW611" s="36"/>
      <c r="BX611" s="36"/>
      <c r="BY611" s="36"/>
      <c r="BZ611" s="36"/>
      <c r="CY611" s="33"/>
    </row>
    <row r="612" spans="2:103" s="32" customFormat="1" x14ac:dyDescent="0.15">
      <c r="B612" s="33"/>
      <c r="E612" s="35"/>
      <c r="H612" s="33"/>
      <c r="N612" s="114"/>
      <c r="O612" s="34"/>
      <c r="P612" s="33"/>
      <c r="Q612" s="33"/>
      <c r="AA612" s="33"/>
      <c r="AB612" s="33"/>
      <c r="AC612" s="33"/>
      <c r="AD612" s="139"/>
      <c r="AE612" s="33"/>
      <c r="AL612" s="35"/>
      <c r="AV612" s="35"/>
      <c r="AW612" s="35"/>
      <c r="AX612" s="35"/>
      <c r="AY612" s="36"/>
      <c r="BF612" s="35"/>
      <c r="BG612" s="35"/>
      <c r="BO612" s="35"/>
      <c r="BP612" s="35"/>
      <c r="BW612" s="36"/>
      <c r="BX612" s="36"/>
      <c r="BY612" s="36"/>
      <c r="BZ612" s="36"/>
      <c r="CY612" s="33"/>
    </row>
    <row r="613" spans="2:103" s="32" customFormat="1" x14ac:dyDescent="0.15">
      <c r="B613" s="33"/>
      <c r="E613" s="35"/>
      <c r="H613" s="33"/>
      <c r="N613" s="114"/>
      <c r="O613" s="34"/>
      <c r="P613" s="33"/>
      <c r="Q613" s="33"/>
      <c r="AA613" s="33"/>
      <c r="AB613" s="33"/>
      <c r="AC613" s="33"/>
      <c r="AD613" s="139"/>
      <c r="AE613" s="33"/>
      <c r="AL613" s="35"/>
      <c r="AV613" s="35"/>
      <c r="AW613" s="35"/>
      <c r="AX613" s="35"/>
      <c r="AY613" s="36"/>
      <c r="BF613" s="35"/>
      <c r="BG613" s="35"/>
      <c r="BO613" s="35"/>
      <c r="BP613" s="35"/>
      <c r="BW613" s="36"/>
      <c r="BX613" s="36"/>
      <c r="BY613" s="36"/>
      <c r="BZ613" s="36"/>
      <c r="CY613" s="33"/>
    </row>
    <row r="614" spans="2:103" s="32" customFormat="1" x14ac:dyDescent="0.15">
      <c r="B614" s="33"/>
      <c r="E614" s="35"/>
      <c r="H614" s="33"/>
      <c r="N614" s="114"/>
      <c r="O614" s="34"/>
      <c r="P614" s="33"/>
      <c r="Q614" s="33"/>
      <c r="AA614" s="33"/>
      <c r="AB614" s="33"/>
      <c r="AC614" s="33"/>
      <c r="AD614" s="139"/>
      <c r="AE614" s="33"/>
      <c r="AL614" s="35"/>
      <c r="AV614" s="35"/>
      <c r="AW614" s="35"/>
      <c r="AX614" s="35"/>
      <c r="AY614" s="36"/>
      <c r="BF614" s="35"/>
      <c r="BG614" s="35"/>
      <c r="BO614" s="35"/>
      <c r="BP614" s="35"/>
      <c r="BW614" s="36"/>
      <c r="BX614" s="36"/>
      <c r="BY614" s="36"/>
      <c r="BZ614" s="36"/>
      <c r="CY614" s="33"/>
    </row>
    <row r="615" spans="2:103" s="32" customFormat="1" x14ac:dyDescent="0.15">
      <c r="B615" s="33"/>
      <c r="E615" s="35"/>
      <c r="H615" s="33"/>
      <c r="N615" s="114"/>
      <c r="O615" s="34"/>
      <c r="P615" s="33"/>
      <c r="Q615" s="33"/>
      <c r="AA615" s="33"/>
      <c r="AB615" s="33"/>
      <c r="AC615" s="33"/>
      <c r="AD615" s="139"/>
      <c r="AE615" s="33"/>
      <c r="AL615" s="35"/>
      <c r="AV615" s="35"/>
      <c r="AW615" s="35"/>
      <c r="AX615" s="35"/>
      <c r="AY615" s="36"/>
      <c r="BF615" s="35"/>
      <c r="BG615" s="35"/>
      <c r="BO615" s="35"/>
      <c r="BP615" s="35"/>
      <c r="BW615" s="36"/>
      <c r="BX615" s="36"/>
      <c r="BY615" s="36"/>
      <c r="BZ615" s="36"/>
      <c r="CY615" s="33"/>
    </row>
    <row r="616" spans="2:103" s="32" customFormat="1" x14ac:dyDescent="0.15">
      <c r="B616" s="33"/>
      <c r="E616" s="35"/>
      <c r="H616" s="33"/>
      <c r="N616" s="114"/>
      <c r="O616" s="34"/>
      <c r="P616" s="33"/>
      <c r="Q616" s="33"/>
      <c r="AA616" s="33"/>
      <c r="AB616" s="33"/>
      <c r="AC616" s="33"/>
      <c r="AD616" s="139"/>
      <c r="AE616" s="33"/>
      <c r="AL616" s="35"/>
      <c r="AV616" s="35"/>
      <c r="AW616" s="35"/>
      <c r="AX616" s="35"/>
      <c r="AY616" s="36"/>
      <c r="BF616" s="35"/>
      <c r="BG616" s="35"/>
      <c r="BO616" s="35"/>
      <c r="BP616" s="35"/>
      <c r="BW616" s="36"/>
      <c r="BX616" s="36"/>
      <c r="BY616" s="36"/>
      <c r="BZ616" s="36"/>
      <c r="CY616" s="33"/>
    </row>
    <row r="617" spans="2:103" s="32" customFormat="1" x14ac:dyDescent="0.15">
      <c r="B617" s="33"/>
      <c r="E617" s="35"/>
      <c r="H617" s="33"/>
      <c r="N617" s="114"/>
      <c r="O617" s="34"/>
      <c r="P617" s="33"/>
      <c r="Q617" s="33"/>
      <c r="AA617" s="33"/>
      <c r="AB617" s="33"/>
      <c r="AC617" s="33"/>
      <c r="AD617" s="139"/>
      <c r="AE617" s="33"/>
      <c r="AL617" s="35"/>
      <c r="AV617" s="35"/>
      <c r="AW617" s="35"/>
      <c r="AX617" s="35"/>
      <c r="AY617" s="36"/>
      <c r="BF617" s="35"/>
      <c r="BG617" s="35"/>
      <c r="BO617" s="35"/>
      <c r="BP617" s="35"/>
      <c r="BW617" s="36"/>
      <c r="BX617" s="36"/>
      <c r="BY617" s="36"/>
      <c r="BZ617" s="36"/>
      <c r="CY617" s="33"/>
    </row>
    <row r="618" spans="2:103" s="32" customFormat="1" x14ac:dyDescent="0.15">
      <c r="B618" s="33"/>
      <c r="E618" s="35"/>
      <c r="H618" s="33"/>
      <c r="N618" s="114"/>
      <c r="O618" s="34"/>
      <c r="P618" s="33"/>
      <c r="Q618" s="33"/>
      <c r="AA618" s="33"/>
      <c r="AB618" s="33"/>
      <c r="AC618" s="33"/>
      <c r="AD618" s="139"/>
      <c r="AE618" s="33"/>
      <c r="AL618" s="35"/>
      <c r="AV618" s="35"/>
      <c r="AW618" s="35"/>
      <c r="AX618" s="35"/>
      <c r="AY618" s="36"/>
      <c r="BF618" s="35"/>
      <c r="BG618" s="35"/>
      <c r="BO618" s="35"/>
      <c r="BP618" s="35"/>
      <c r="BW618" s="36"/>
      <c r="BX618" s="36"/>
      <c r="BY618" s="36"/>
      <c r="BZ618" s="36"/>
      <c r="CY618" s="33"/>
    </row>
    <row r="619" spans="2:103" s="32" customFormat="1" x14ac:dyDescent="0.15">
      <c r="B619" s="33"/>
      <c r="E619" s="35"/>
      <c r="H619" s="33"/>
      <c r="N619" s="114"/>
      <c r="O619" s="34"/>
      <c r="P619" s="33"/>
      <c r="Q619" s="33"/>
      <c r="AA619" s="33"/>
      <c r="AB619" s="33"/>
      <c r="AC619" s="33"/>
      <c r="AD619" s="139"/>
      <c r="AE619" s="33"/>
      <c r="AL619" s="35"/>
      <c r="AV619" s="35"/>
      <c r="AW619" s="35"/>
      <c r="AX619" s="35"/>
      <c r="AY619" s="36"/>
      <c r="BF619" s="35"/>
      <c r="BG619" s="35"/>
      <c r="BO619" s="35"/>
      <c r="BP619" s="35"/>
      <c r="BW619" s="36"/>
      <c r="BX619" s="36"/>
      <c r="BY619" s="36"/>
      <c r="BZ619" s="36"/>
      <c r="CY619" s="33"/>
    </row>
    <row r="620" spans="2:103" s="32" customFormat="1" x14ac:dyDescent="0.15">
      <c r="B620" s="33"/>
      <c r="E620" s="35"/>
      <c r="H620" s="33"/>
      <c r="N620" s="114"/>
      <c r="O620" s="34"/>
      <c r="P620" s="33"/>
      <c r="Q620" s="33"/>
      <c r="AA620" s="33"/>
      <c r="AB620" s="33"/>
      <c r="AC620" s="33"/>
      <c r="AD620" s="139"/>
      <c r="AE620" s="33"/>
      <c r="AL620" s="35"/>
      <c r="AV620" s="35"/>
      <c r="AW620" s="35"/>
      <c r="AX620" s="35"/>
      <c r="AY620" s="36"/>
      <c r="BF620" s="35"/>
      <c r="BG620" s="35"/>
      <c r="BO620" s="35"/>
      <c r="BP620" s="35"/>
      <c r="BW620" s="36"/>
      <c r="BX620" s="36"/>
      <c r="BY620" s="36"/>
      <c r="BZ620" s="36"/>
      <c r="CY620" s="33"/>
    </row>
    <row r="621" spans="2:103" s="32" customFormat="1" x14ac:dyDescent="0.15">
      <c r="B621" s="33"/>
      <c r="E621" s="35"/>
      <c r="H621" s="33"/>
      <c r="N621" s="114"/>
      <c r="O621" s="34"/>
      <c r="P621" s="33"/>
      <c r="Q621" s="33"/>
      <c r="AA621" s="33"/>
      <c r="AB621" s="33"/>
      <c r="AC621" s="33"/>
      <c r="AD621" s="139"/>
      <c r="AE621" s="33"/>
      <c r="AL621" s="35"/>
      <c r="AV621" s="35"/>
      <c r="AW621" s="35"/>
      <c r="AX621" s="35"/>
      <c r="AY621" s="36"/>
      <c r="BF621" s="35"/>
      <c r="BG621" s="35"/>
      <c r="BO621" s="35"/>
      <c r="BP621" s="35"/>
      <c r="BW621" s="36"/>
      <c r="BX621" s="36"/>
      <c r="BY621" s="36"/>
      <c r="BZ621" s="36"/>
      <c r="CY621" s="33"/>
    </row>
    <row r="622" spans="2:103" s="32" customFormat="1" x14ac:dyDescent="0.15">
      <c r="B622" s="33"/>
      <c r="E622" s="35"/>
      <c r="H622" s="33"/>
      <c r="N622" s="114"/>
      <c r="O622" s="34"/>
      <c r="P622" s="33"/>
      <c r="Q622" s="33"/>
      <c r="AA622" s="33"/>
      <c r="AB622" s="33"/>
      <c r="AC622" s="33"/>
      <c r="AD622" s="139"/>
      <c r="AE622" s="33"/>
      <c r="AL622" s="35"/>
      <c r="AV622" s="35"/>
      <c r="AW622" s="35"/>
      <c r="AX622" s="35"/>
      <c r="AY622" s="36"/>
      <c r="BF622" s="35"/>
      <c r="BG622" s="35"/>
      <c r="BO622" s="35"/>
      <c r="BP622" s="35"/>
      <c r="BW622" s="36"/>
      <c r="BX622" s="36"/>
      <c r="BY622" s="36"/>
      <c r="BZ622" s="36"/>
      <c r="CY622" s="33"/>
    </row>
    <row r="623" spans="2:103" s="32" customFormat="1" x14ac:dyDescent="0.15">
      <c r="B623" s="33"/>
      <c r="E623" s="35"/>
      <c r="H623" s="33"/>
      <c r="N623" s="114"/>
      <c r="O623" s="34"/>
      <c r="P623" s="33"/>
      <c r="Q623" s="33"/>
      <c r="AA623" s="33"/>
      <c r="AB623" s="33"/>
      <c r="AC623" s="33"/>
      <c r="AD623" s="139"/>
      <c r="AE623" s="33"/>
      <c r="AL623" s="35"/>
      <c r="AV623" s="35"/>
      <c r="AW623" s="35"/>
      <c r="AX623" s="35"/>
      <c r="AY623" s="36"/>
      <c r="BF623" s="35"/>
      <c r="BG623" s="35"/>
      <c r="BO623" s="35"/>
      <c r="BP623" s="35"/>
      <c r="BW623" s="36"/>
      <c r="BX623" s="36"/>
      <c r="BY623" s="36"/>
      <c r="BZ623" s="36"/>
      <c r="CY623" s="33"/>
    </row>
    <row r="624" spans="2:103" s="32" customFormat="1" x14ac:dyDescent="0.15">
      <c r="B624" s="33"/>
      <c r="E624" s="35"/>
      <c r="H624" s="33"/>
      <c r="N624" s="114"/>
      <c r="O624" s="34"/>
      <c r="P624" s="33"/>
      <c r="Q624" s="33"/>
      <c r="AA624" s="33"/>
      <c r="AB624" s="33"/>
      <c r="AC624" s="33"/>
      <c r="AD624" s="139"/>
      <c r="AE624" s="33"/>
      <c r="AL624" s="35"/>
      <c r="AV624" s="35"/>
      <c r="AW624" s="35"/>
      <c r="AX624" s="35"/>
      <c r="AY624" s="36"/>
      <c r="BF624" s="35"/>
      <c r="BG624" s="35"/>
      <c r="BO624" s="35"/>
      <c r="BP624" s="35"/>
      <c r="BW624" s="36"/>
      <c r="BX624" s="36"/>
      <c r="BY624" s="36"/>
      <c r="BZ624" s="36"/>
      <c r="CY624" s="33"/>
    </row>
    <row r="625" spans="2:103" s="32" customFormat="1" x14ac:dyDescent="0.15">
      <c r="B625" s="33"/>
      <c r="E625" s="35"/>
      <c r="H625" s="33"/>
      <c r="N625" s="114"/>
      <c r="O625" s="34"/>
      <c r="P625" s="33"/>
      <c r="Q625" s="33"/>
      <c r="AA625" s="33"/>
      <c r="AB625" s="33"/>
      <c r="AC625" s="33"/>
      <c r="AD625" s="139"/>
      <c r="AE625" s="33"/>
      <c r="AL625" s="35"/>
      <c r="AV625" s="35"/>
      <c r="AW625" s="35"/>
      <c r="AX625" s="35"/>
      <c r="AY625" s="36"/>
      <c r="BF625" s="35"/>
      <c r="BG625" s="35"/>
      <c r="BO625" s="35"/>
      <c r="BP625" s="35"/>
      <c r="BW625" s="36"/>
      <c r="BX625" s="36"/>
      <c r="BY625" s="36"/>
      <c r="BZ625" s="36"/>
      <c r="CY625" s="33"/>
    </row>
    <row r="626" spans="2:103" s="32" customFormat="1" x14ac:dyDescent="0.15">
      <c r="B626" s="33"/>
      <c r="E626" s="35"/>
      <c r="H626" s="33"/>
      <c r="N626" s="114"/>
      <c r="O626" s="34"/>
      <c r="P626" s="33"/>
      <c r="Q626" s="33"/>
      <c r="AA626" s="33"/>
      <c r="AB626" s="33"/>
      <c r="AC626" s="33"/>
      <c r="AD626" s="139"/>
      <c r="AE626" s="33"/>
      <c r="AL626" s="35"/>
      <c r="AV626" s="35"/>
      <c r="AW626" s="35"/>
      <c r="AX626" s="35"/>
      <c r="AY626" s="36"/>
      <c r="BF626" s="35"/>
      <c r="BG626" s="35"/>
      <c r="BO626" s="35"/>
      <c r="BP626" s="35"/>
      <c r="BW626" s="36"/>
      <c r="BX626" s="36"/>
      <c r="BY626" s="36"/>
      <c r="BZ626" s="36"/>
      <c r="CY626" s="33"/>
    </row>
    <row r="627" spans="2:103" s="32" customFormat="1" x14ac:dyDescent="0.15">
      <c r="B627" s="33"/>
      <c r="E627" s="35"/>
      <c r="H627" s="33"/>
      <c r="N627" s="114"/>
      <c r="O627" s="34"/>
      <c r="P627" s="33"/>
      <c r="Q627" s="33"/>
      <c r="AA627" s="33"/>
      <c r="AB627" s="33"/>
      <c r="AC627" s="33"/>
      <c r="AD627" s="139"/>
      <c r="AE627" s="33"/>
      <c r="AL627" s="35"/>
      <c r="AV627" s="35"/>
      <c r="AW627" s="35"/>
      <c r="AX627" s="35"/>
      <c r="AY627" s="36"/>
      <c r="BF627" s="35"/>
      <c r="BG627" s="35"/>
      <c r="BO627" s="35"/>
      <c r="BP627" s="35"/>
      <c r="BW627" s="36"/>
      <c r="BX627" s="36"/>
      <c r="BY627" s="36"/>
      <c r="BZ627" s="36"/>
      <c r="CY627" s="33"/>
    </row>
    <row r="628" spans="2:103" s="32" customFormat="1" x14ac:dyDescent="0.15">
      <c r="B628" s="33"/>
      <c r="E628" s="35"/>
      <c r="H628" s="33"/>
      <c r="N628" s="114"/>
      <c r="O628" s="34"/>
      <c r="P628" s="33"/>
      <c r="Q628" s="33"/>
      <c r="AA628" s="33"/>
      <c r="AB628" s="33"/>
      <c r="AC628" s="33"/>
      <c r="AD628" s="139"/>
      <c r="AE628" s="33"/>
      <c r="AL628" s="35"/>
      <c r="AV628" s="35"/>
      <c r="AW628" s="35"/>
      <c r="AX628" s="35"/>
      <c r="AY628" s="36"/>
      <c r="BF628" s="35"/>
      <c r="BG628" s="35"/>
      <c r="BO628" s="35"/>
      <c r="BP628" s="35"/>
      <c r="BW628" s="36"/>
      <c r="BX628" s="36"/>
      <c r="BY628" s="36"/>
      <c r="BZ628" s="36"/>
      <c r="CY628" s="33"/>
    </row>
    <row r="629" spans="2:103" s="32" customFormat="1" x14ac:dyDescent="0.15">
      <c r="B629" s="33"/>
      <c r="E629" s="35"/>
      <c r="H629" s="33"/>
      <c r="N629" s="114"/>
      <c r="O629" s="34"/>
      <c r="P629" s="33"/>
      <c r="Q629" s="33"/>
      <c r="AA629" s="33"/>
      <c r="AB629" s="33"/>
      <c r="AC629" s="33"/>
      <c r="AD629" s="139"/>
      <c r="AE629" s="33"/>
      <c r="AL629" s="35"/>
      <c r="AV629" s="35"/>
      <c r="AW629" s="35"/>
      <c r="AX629" s="35"/>
      <c r="AY629" s="36"/>
      <c r="BF629" s="35"/>
      <c r="BG629" s="35"/>
      <c r="BO629" s="35"/>
      <c r="BP629" s="35"/>
      <c r="BW629" s="36"/>
      <c r="BX629" s="36"/>
      <c r="BY629" s="36"/>
      <c r="BZ629" s="36"/>
      <c r="CY629" s="33"/>
    </row>
    <row r="630" spans="2:103" s="32" customFormat="1" x14ac:dyDescent="0.15">
      <c r="B630" s="33"/>
      <c r="E630" s="35"/>
      <c r="H630" s="33"/>
      <c r="N630" s="114"/>
      <c r="O630" s="34"/>
      <c r="P630" s="33"/>
      <c r="Q630" s="33"/>
      <c r="AA630" s="33"/>
      <c r="AB630" s="33"/>
      <c r="AC630" s="33"/>
      <c r="AD630" s="139"/>
      <c r="AE630" s="33"/>
      <c r="AL630" s="35"/>
      <c r="AV630" s="35"/>
      <c r="AW630" s="35"/>
      <c r="AX630" s="35"/>
      <c r="AY630" s="36"/>
      <c r="BF630" s="35"/>
      <c r="BG630" s="35"/>
      <c r="BO630" s="35"/>
      <c r="BP630" s="35"/>
      <c r="BW630" s="36"/>
      <c r="BX630" s="36"/>
      <c r="BY630" s="36"/>
      <c r="BZ630" s="36"/>
      <c r="CY630" s="33"/>
    </row>
    <row r="631" spans="2:103" s="32" customFormat="1" x14ac:dyDescent="0.15">
      <c r="B631" s="33"/>
      <c r="E631" s="35"/>
      <c r="H631" s="33"/>
      <c r="N631" s="114"/>
      <c r="O631" s="34"/>
      <c r="P631" s="33"/>
      <c r="Q631" s="33"/>
      <c r="AA631" s="33"/>
      <c r="AB631" s="33"/>
      <c r="AC631" s="33"/>
      <c r="AD631" s="139"/>
      <c r="AE631" s="33"/>
      <c r="AL631" s="35"/>
      <c r="AV631" s="35"/>
      <c r="AW631" s="35"/>
      <c r="AX631" s="35"/>
      <c r="AY631" s="36"/>
      <c r="BF631" s="35"/>
      <c r="BG631" s="35"/>
      <c r="BO631" s="35"/>
      <c r="BP631" s="35"/>
      <c r="BW631" s="36"/>
      <c r="BX631" s="36"/>
      <c r="BY631" s="36"/>
      <c r="BZ631" s="36"/>
      <c r="CY631" s="33"/>
    </row>
    <row r="632" spans="2:103" s="32" customFormat="1" x14ac:dyDescent="0.15">
      <c r="B632" s="33"/>
      <c r="E632" s="35"/>
      <c r="H632" s="33"/>
      <c r="N632" s="114"/>
      <c r="O632" s="34"/>
      <c r="P632" s="33"/>
      <c r="Q632" s="33"/>
      <c r="AA632" s="33"/>
      <c r="AB632" s="33"/>
      <c r="AC632" s="33"/>
      <c r="AD632" s="139"/>
      <c r="AE632" s="33"/>
      <c r="AL632" s="35"/>
      <c r="AV632" s="35"/>
      <c r="AW632" s="35"/>
      <c r="AX632" s="35"/>
      <c r="AY632" s="36"/>
      <c r="BF632" s="35"/>
      <c r="BG632" s="35"/>
      <c r="BO632" s="35"/>
      <c r="BP632" s="35"/>
      <c r="BW632" s="36"/>
      <c r="BX632" s="36"/>
      <c r="BY632" s="36"/>
      <c r="BZ632" s="36"/>
      <c r="CY632" s="33"/>
    </row>
    <row r="633" spans="2:103" s="32" customFormat="1" x14ac:dyDescent="0.15">
      <c r="B633" s="33"/>
      <c r="E633" s="35"/>
      <c r="H633" s="33"/>
      <c r="N633" s="114"/>
      <c r="O633" s="34"/>
      <c r="P633" s="33"/>
      <c r="Q633" s="33"/>
      <c r="AA633" s="33"/>
      <c r="AB633" s="33"/>
      <c r="AC633" s="33"/>
      <c r="AD633" s="139"/>
      <c r="AE633" s="33"/>
      <c r="AL633" s="35"/>
      <c r="AV633" s="35"/>
      <c r="AW633" s="35"/>
      <c r="AX633" s="35"/>
      <c r="AY633" s="36"/>
      <c r="BF633" s="35"/>
      <c r="BG633" s="35"/>
      <c r="BO633" s="35"/>
      <c r="BP633" s="35"/>
      <c r="BW633" s="36"/>
      <c r="BX633" s="36"/>
      <c r="BY633" s="36"/>
      <c r="BZ633" s="36"/>
      <c r="CY633" s="33"/>
    </row>
    <row r="634" spans="2:103" s="32" customFormat="1" x14ac:dyDescent="0.15">
      <c r="B634" s="33"/>
      <c r="E634" s="35"/>
      <c r="H634" s="33"/>
      <c r="N634" s="114"/>
      <c r="O634" s="34"/>
      <c r="P634" s="33"/>
      <c r="Q634" s="33"/>
      <c r="AA634" s="33"/>
      <c r="AB634" s="33"/>
      <c r="AC634" s="33"/>
      <c r="AD634" s="139"/>
      <c r="AE634" s="33"/>
      <c r="AL634" s="35"/>
      <c r="AV634" s="35"/>
      <c r="AW634" s="35"/>
      <c r="AX634" s="35"/>
      <c r="AY634" s="36"/>
      <c r="BF634" s="35"/>
      <c r="BG634" s="35"/>
      <c r="BO634" s="35"/>
      <c r="BP634" s="35"/>
      <c r="BW634" s="36"/>
      <c r="BX634" s="36"/>
      <c r="BY634" s="36"/>
      <c r="BZ634" s="36"/>
      <c r="CY634" s="33"/>
    </row>
    <row r="635" spans="2:103" s="32" customFormat="1" x14ac:dyDescent="0.15">
      <c r="B635" s="33"/>
      <c r="E635" s="35"/>
      <c r="H635" s="33"/>
      <c r="N635" s="114"/>
      <c r="O635" s="34"/>
      <c r="P635" s="33"/>
      <c r="Q635" s="33"/>
      <c r="AA635" s="33"/>
      <c r="AB635" s="33"/>
      <c r="AC635" s="33"/>
      <c r="AD635" s="139"/>
      <c r="AE635" s="33"/>
      <c r="AL635" s="35"/>
      <c r="AV635" s="35"/>
      <c r="AW635" s="35"/>
      <c r="AX635" s="35"/>
      <c r="AY635" s="36"/>
      <c r="BF635" s="35"/>
      <c r="BG635" s="35"/>
      <c r="BO635" s="35"/>
      <c r="BP635" s="35"/>
      <c r="BW635" s="36"/>
      <c r="BX635" s="36"/>
      <c r="BY635" s="36"/>
      <c r="BZ635" s="36"/>
      <c r="CY635" s="33"/>
    </row>
    <row r="636" spans="2:103" s="32" customFormat="1" x14ac:dyDescent="0.15">
      <c r="B636" s="33"/>
      <c r="E636" s="35"/>
      <c r="H636" s="33"/>
      <c r="N636" s="114"/>
      <c r="O636" s="34"/>
      <c r="P636" s="33"/>
      <c r="Q636" s="33"/>
      <c r="AA636" s="33"/>
      <c r="AB636" s="33"/>
      <c r="AC636" s="33"/>
      <c r="AD636" s="139"/>
      <c r="AE636" s="33"/>
      <c r="AL636" s="35"/>
      <c r="AV636" s="35"/>
      <c r="AW636" s="35"/>
      <c r="AX636" s="35"/>
      <c r="AY636" s="36"/>
      <c r="BF636" s="35"/>
      <c r="BG636" s="35"/>
      <c r="BO636" s="35"/>
      <c r="BP636" s="35"/>
      <c r="BW636" s="36"/>
      <c r="BX636" s="36"/>
      <c r="BY636" s="36"/>
      <c r="BZ636" s="36"/>
      <c r="CY636" s="33"/>
    </row>
    <row r="637" spans="2:103" s="32" customFormat="1" x14ac:dyDescent="0.15">
      <c r="B637" s="33"/>
      <c r="E637" s="35"/>
      <c r="H637" s="33"/>
      <c r="N637" s="114"/>
      <c r="O637" s="34"/>
      <c r="P637" s="33"/>
      <c r="Q637" s="33"/>
      <c r="AA637" s="33"/>
      <c r="AB637" s="33"/>
      <c r="AC637" s="33"/>
      <c r="AD637" s="139"/>
      <c r="AE637" s="33"/>
      <c r="AL637" s="35"/>
      <c r="AV637" s="35"/>
      <c r="AW637" s="35"/>
      <c r="AX637" s="35"/>
      <c r="AY637" s="36"/>
      <c r="BF637" s="35"/>
      <c r="BG637" s="35"/>
      <c r="BO637" s="35"/>
      <c r="BP637" s="35"/>
      <c r="BW637" s="36"/>
      <c r="BX637" s="36"/>
      <c r="BY637" s="36"/>
      <c r="BZ637" s="36"/>
      <c r="CY637" s="33"/>
    </row>
    <row r="638" spans="2:103" s="32" customFormat="1" x14ac:dyDescent="0.15">
      <c r="B638" s="33"/>
      <c r="E638" s="35"/>
      <c r="H638" s="33"/>
      <c r="N638" s="114"/>
      <c r="O638" s="34"/>
      <c r="P638" s="33"/>
      <c r="Q638" s="33"/>
      <c r="AA638" s="33"/>
      <c r="AB638" s="33"/>
      <c r="AC638" s="33"/>
      <c r="AD638" s="139"/>
      <c r="AE638" s="33"/>
      <c r="AL638" s="35"/>
      <c r="AV638" s="35"/>
      <c r="AW638" s="35"/>
      <c r="AX638" s="35"/>
      <c r="AY638" s="36"/>
      <c r="BF638" s="35"/>
      <c r="BG638" s="35"/>
      <c r="BO638" s="35"/>
      <c r="BP638" s="35"/>
      <c r="BW638" s="36"/>
      <c r="BX638" s="36"/>
      <c r="BY638" s="36"/>
      <c r="BZ638" s="36"/>
      <c r="CY638" s="33"/>
    </row>
    <row r="639" spans="2:103" s="32" customFormat="1" x14ac:dyDescent="0.15">
      <c r="B639" s="33"/>
      <c r="E639" s="35"/>
      <c r="H639" s="33"/>
      <c r="N639" s="114"/>
      <c r="O639" s="34"/>
      <c r="P639" s="33"/>
      <c r="Q639" s="33"/>
      <c r="AA639" s="33"/>
      <c r="AB639" s="33"/>
      <c r="AC639" s="33"/>
      <c r="AD639" s="139"/>
      <c r="AE639" s="33"/>
      <c r="AL639" s="35"/>
      <c r="AV639" s="35"/>
      <c r="AW639" s="35"/>
      <c r="AX639" s="35"/>
      <c r="AY639" s="36"/>
      <c r="BF639" s="35"/>
      <c r="BG639" s="35"/>
      <c r="BO639" s="35"/>
      <c r="BP639" s="35"/>
      <c r="BW639" s="36"/>
      <c r="BX639" s="36"/>
      <c r="BY639" s="36"/>
      <c r="BZ639" s="36"/>
      <c r="CY639" s="33"/>
    </row>
    <row r="640" spans="2:103" s="32" customFormat="1" x14ac:dyDescent="0.15">
      <c r="B640" s="33"/>
      <c r="E640" s="35"/>
      <c r="H640" s="33"/>
      <c r="N640" s="114"/>
      <c r="O640" s="34"/>
      <c r="P640" s="33"/>
      <c r="Q640" s="33"/>
      <c r="AA640" s="33"/>
      <c r="AB640" s="33"/>
      <c r="AC640" s="33"/>
      <c r="AD640" s="139"/>
      <c r="AE640" s="33"/>
      <c r="AL640" s="35"/>
      <c r="AV640" s="35"/>
      <c r="AW640" s="35"/>
      <c r="AX640" s="35"/>
      <c r="AY640" s="36"/>
      <c r="BF640" s="35"/>
      <c r="BG640" s="35"/>
      <c r="BO640" s="35"/>
      <c r="BP640" s="35"/>
      <c r="BW640" s="36"/>
      <c r="BX640" s="36"/>
      <c r="BY640" s="36"/>
      <c r="BZ640" s="36"/>
      <c r="CY640" s="33"/>
    </row>
    <row r="641" spans="2:103" s="32" customFormat="1" x14ac:dyDescent="0.15">
      <c r="B641" s="33"/>
      <c r="E641" s="35"/>
      <c r="H641" s="33"/>
      <c r="N641" s="114"/>
      <c r="O641" s="34"/>
      <c r="P641" s="33"/>
      <c r="Q641" s="33"/>
      <c r="AA641" s="33"/>
      <c r="AB641" s="33"/>
      <c r="AC641" s="33"/>
      <c r="AD641" s="139"/>
      <c r="AE641" s="33"/>
      <c r="AL641" s="35"/>
      <c r="AV641" s="35"/>
      <c r="AW641" s="35"/>
      <c r="AX641" s="35"/>
      <c r="AY641" s="36"/>
      <c r="BF641" s="35"/>
      <c r="BG641" s="35"/>
      <c r="BO641" s="35"/>
      <c r="BP641" s="35"/>
      <c r="BW641" s="36"/>
      <c r="BX641" s="36"/>
      <c r="BY641" s="36"/>
      <c r="BZ641" s="36"/>
      <c r="CY641" s="33"/>
    </row>
    <row r="642" spans="2:103" s="32" customFormat="1" x14ac:dyDescent="0.15">
      <c r="B642" s="33"/>
      <c r="E642" s="35"/>
      <c r="H642" s="33"/>
      <c r="N642" s="114"/>
      <c r="O642" s="34"/>
      <c r="P642" s="33"/>
      <c r="Q642" s="33"/>
      <c r="AA642" s="33"/>
      <c r="AB642" s="33"/>
      <c r="AC642" s="33"/>
      <c r="AD642" s="139"/>
      <c r="AE642" s="33"/>
      <c r="AL642" s="35"/>
      <c r="AV642" s="35"/>
      <c r="AW642" s="35"/>
      <c r="AX642" s="35"/>
      <c r="AY642" s="36"/>
      <c r="BF642" s="35"/>
      <c r="BG642" s="35"/>
      <c r="BO642" s="35"/>
      <c r="BP642" s="35"/>
      <c r="BW642" s="36"/>
      <c r="BX642" s="36"/>
      <c r="BY642" s="36"/>
      <c r="BZ642" s="36"/>
      <c r="CY642" s="33"/>
    </row>
    <row r="643" spans="2:103" s="32" customFormat="1" x14ac:dyDescent="0.15">
      <c r="B643" s="33"/>
      <c r="E643" s="35"/>
      <c r="H643" s="33"/>
      <c r="N643" s="114"/>
      <c r="O643" s="34"/>
      <c r="P643" s="33"/>
      <c r="Q643" s="33"/>
      <c r="AA643" s="33"/>
      <c r="AB643" s="33"/>
      <c r="AC643" s="33"/>
      <c r="AD643" s="139"/>
      <c r="AE643" s="33"/>
      <c r="AL643" s="35"/>
      <c r="AV643" s="35"/>
      <c r="AW643" s="35"/>
      <c r="AX643" s="35"/>
      <c r="AY643" s="36"/>
      <c r="BF643" s="35"/>
      <c r="BG643" s="35"/>
      <c r="BO643" s="35"/>
      <c r="BP643" s="35"/>
      <c r="BW643" s="36"/>
      <c r="BX643" s="36"/>
      <c r="BY643" s="36"/>
      <c r="BZ643" s="36"/>
      <c r="CY643" s="33"/>
    </row>
    <row r="644" spans="2:103" s="32" customFormat="1" x14ac:dyDescent="0.15">
      <c r="B644" s="33"/>
      <c r="E644" s="35"/>
      <c r="H644" s="33"/>
      <c r="N644" s="114"/>
      <c r="O644" s="34"/>
      <c r="P644" s="33"/>
      <c r="Q644" s="33"/>
      <c r="AA644" s="33"/>
      <c r="AB644" s="33"/>
      <c r="AC644" s="33"/>
      <c r="AD644" s="139"/>
      <c r="AE644" s="33"/>
      <c r="AL644" s="35"/>
      <c r="AV644" s="35"/>
      <c r="AW644" s="35"/>
      <c r="AX644" s="35"/>
      <c r="AY644" s="36"/>
      <c r="BF644" s="35"/>
      <c r="BG644" s="35"/>
      <c r="BO644" s="35"/>
      <c r="BP644" s="35"/>
      <c r="BW644" s="36"/>
      <c r="BX644" s="36"/>
      <c r="BY644" s="36"/>
      <c r="BZ644" s="36"/>
      <c r="CY644" s="33"/>
    </row>
    <row r="645" spans="2:103" s="32" customFormat="1" x14ac:dyDescent="0.15">
      <c r="B645" s="33"/>
      <c r="E645" s="35"/>
      <c r="H645" s="33"/>
      <c r="N645" s="114"/>
      <c r="O645" s="34"/>
      <c r="P645" s="33"/>
      <c r="Q645" s="33"/>
      <c r="AA645" s="33"/>
      <c r="AB645" s="33"/>
      <c r="AC645" s="33"/>
      <c r="AD645" s="139"/>
      <c r="AE645" s="33"/>
      <c r="AL645" s="35"/>
      <c r="AV645" s="35"/>
      <c r="AW645" s="35"/>
      <c r="AX645" s="35"/>
      <c r="AY645" s="36"/>
      <c r="BF645" s="35"/>
      <c r="BG645" s="35"/>
      <c r="BO645" s="35"/>
      <c r="BP645" s="35"/>
      <c r="BW645" s="36"/>
      <c r="BX645" s="36"/>
      <c r="BY645" s="36"/>
      <c r="BZ645" s="36"/>
      <c r="CY645" s="33"/>
    </row>
    <row r="646" spans="2:103" s="32" customFormat="1" x14ac:dyDescent="0.15">
      <c r="B646" s="33"/>
      <c r="E646" s="35"/>
      <c r="H646" s="33"/>
      <c r="N646" s="114"/>
      <c r="O646" s="34"/>
      <c r="P646" s="33"/>
      <c r="Q646" s="33"/>
      <c r="AA646" s="33"/>
      <c r="AB646" s="33"/>
      <c r="AC646" s="33"/>
      <c r="AD646" s="139"/>
      <c r="AE646" s="33"/>
      <c r="AL646" s="35"/>
      <c r="AV646" s="35"/>
      <c r="AW646" s="35"/>
      <c r="AX646" s="35"/>
      <c r="AY646" s="36"/>
      <c r="BF646" s="35"/>
      <c r="BG646" s="35"/>
      <c r="BO646" s="35"/>
      <c r="BP646" s="35"/>
      <c r="BW646" s="36"/>
      <c r="BX646" s="36"/>
      <c r="BY646" s="36"/>
      <c r="BZ646" s="36"/>
      <c r="CY646" s="33"/>
    </row>
    <row r="647" spans="2:103" s="32" customFormat="1" x14ac:dyDescent="0.15">
      <c r="B647" s="33"/>
      <c r="E647" s="35"/>
      <c r="H647" s="33"/>
      <c r="N647" s="114"/>
      <c r="O647" s="34"/>
      <c r="P647" s="33"/>
      <c r="Q647" s="33"/>
      <c r="AA647" s="33"/>
      <c r="AB647" s="33"/>
      <c r="AC647" s="33"/>
      <c r="AD647" s="139"/>
      <c r="AE647" s="33"/>
      <c r="AL647" s="35"/>
      <c r="AV647" s="35"/>
      <c r="AW647" s="35"/>
      <c r="AX647" s="35"/>
      <c r="AY647" s="36"/>
      <c r="BF647" s="35"/>
      <c r="BG647" s="35"/>
      <c r="BO647" s="35"/>
      <c r="BP647" s="35"/>
      <c r="BW647" s="36"/>
      <c r="BX647" s="36"/>
      <c r="BY647" s="36"/>
      <c r="BZ647" s="36"/>
      <c r="CY647" s="33"/>
    </row>
    <row r="648" spans="2:103" s="32" customFormat="1" x14ac:dyDescent="0.15">
      <c r="B648" s="33"/>
      <c r="E648" s="35"/>
      <c r="H648" s="33"/>
      <c r="N648" s="114"/>
      <c r="O648" s="34"/>
      <c r="P648" s="33"/>
      <c r="Q648" s="33"/>
      <c r="AA648" s="33"/>
      <c r="AB648" s="33"/>
      <c r="AC648" s="33"/>
      <c r="AD648" s="139"/>
      <c r="AE648" s="33"/>
      <c r="AL648" s="35"/>
      <c r="AV648" s="35"/>
      <c r="AW648" s="35"/>
      <c r="AX648" s="35"/>
      <c r="AY648" s="36"/>
      <c r="BF648" s="35"/>
      <c r="BG648" s="35"/>
      <c r="BO648" s="35"/>
      <c r="BP648" s="35"/>
      <c r="BW648" s="36"/>
      <c r="BX648" s="36"/>
      <c r="BY648" s="36"/>
      <c r="BZ648" s="36"/>
      <c r="CY648" s="33"/>
    </row>
    <row r="649" spans="2:103" s="32" customFormat="1" x14ac:dyDescent="0.15">
      <c r="B649" s="33"/>
      <c r="E649" s="35"/>
      <c r="H649" s="33"/>
      <c r="N649" s="114"/>
      <c r="O649" s="34"/>
      <c r="P649" s="33"/>
      <c r="Q649" s="33"/>
      <c r="AA649" s="33"/>
      <c r="AB649" s="33"/>
      <c r="AC649" s="33"/>
      <c r="AD649" s="139"/>
      <c r="AE649" s="33"/>
      <c r="AL649" s="35"/>
      <c r="AV649" s="35"/>
      <c r="AW649" s="35"/>
      <c r="AX649" s="35"/>
      <c r="AY649" s="36"/>
      <c r="BF649" s="35"/>
      <c r="BG649" s="35"/>
      <c r="BO649" s="35"/>
      <c r="BP649" s="35"/>
      <c r="BW649" s="36"/>
      <c r="BX649" s="36"/>
      <c r="BY649" s="36"/>
      <c r="BZ649" s="36"/>
      <c r="CY649" s="33"/>
    </row>
    <row r="650" spans="2:103" s="32" customFormat="1" x14ac:dyDescent="0.15">
      <c r="B650" s="33"/>
      <c r="E650" s="35"/>
      <c r="H650" s="33"/>
      <c r="N650" s="114"/>
      <c r="O650" s="34"/>
      <c r="P650" s="33"/>
      <c r="Q650" s="33"/>
      <c r="AA650" s="33"/>
      <c r="AB650" s="33"/>
      <c r="AC650" s="33"/>
      <c r="AD650" s="139"/>
      <c r="AE650" s="33"/>
      <c r="AL650" s="35"/>
      <c r="AV650" s="35"/>
      <c r="AW650" s="35"/>
      <c r="AX650" s="35"/>
      <c r="AY650" s="36"/>
      <c r="BF650" s="35"/>
      <c r="BG650" s="35"/>
      <c r="BO650" s="35"/>
      <c r="BP650" s="35"/>
      <c r="BW650" s="36"/>
      <c r="BX650" s="36"/>
      <c r="BY650" s="36"/>
      <c r="BZ650" s="36"/>
      <c r="CY650" s="33"/>
    </row>
    <row r="651" spans="2:103" s="32" customFormat="1" x14ac:dyDescent="0.15">
      <c r="B651" s="33"/>
      <c r="E651" s="35"/>
      <c r="H651" s="33"/>
      <c r="N651" s="114"/>
      <c r="O651" s="34"/>
      <c r="P651" s="33"/>
      <c r="Q651" s="33"/>
      <c r="AA651" s="33"/>
      <c r="AB651" s="33"/>
      <c r="AC651" s="33"/>
      <c r="AD651" s="139"/>
      <c r="AE651" s="33"/>
      <c r="AL651" s="35"/>
      <c r="AV651" s="35"/>
      <c r="AW651" s="35"/>
      <c r="AX651" s="35"/>
      <c r="AY651" s="36"/>
      <c r="BF651" s="35"/>
      <c r="BG651" s="35"/>
      <c r="BO651" s="35"/>
      <c r="BP651" s="35"/>
      <c r="BW651" s="36"/>
      <c r="BX651" s="36"/>
      <c r="BY651" s="36"/>
      <c r="BZ651" s="36"/>
      <c r="CY651" s="33"/>
    </row>
    <row r="652" spans="2:103" s="32" customFormat="1" x14ac:dyDescent="0.15">
      <c r="B652" s="33"/>
      <c r="E652" s="35"/>
      <c r="H652" s="33"/>
      <c r="N652" s="114"/>
      <c r="O652" s="34"/>
      <c r="P652" s="33"/>
      <c r="Q652" s="33"/>
      <c r="AA652" s="33"/>
      <c r="AB652" s="33"/>
      <c r="AC652" s="33"/>
      <c r="AD652" s="139"/>
      <c r="AE652" s="33"/>
      <c r="AL652" s="35"/>
      <c r="AV652" s="35"/>
      <c r="AW652" s="35"/>
      <c r="AX652" s="35"/>
      <c r="AY652" s="36"/>
      <c r="BF652" s="35"/>
      <c r="BG652" s="35"/>
      <c r="BO652" s="35"/>
      <c r="BP652" s="35"/>
      <c r="BW652" s="36"/>
      <c r="BX652" s="36"/>
      <c r="BY652" s="36"/>
      <c r="BZ652" s="36"/>
      <c r="CY652" s="33"/>
    </row>
    <row r="653" spans="2:103" s="32" customFormat="1" x14ac:dyDescent="0.15">
      <c r="B653" s="33"/>
      <c r="E653" s="35"/>
      <c r="H653" s="33"/>
      <c r="N653" s="114"/>
      <c r="O653" s="34"/>
      <c r="P653" s="33"/>
      <c r="Q653" s="33"/>
      <c r="AA653" s="33"/>
      <c r="AB653" s="33"/>
      <c r="AC653" s="33"/>
      <c r="AD653" s="139"/>
      <c r="AE653" s="33"/>
      <c r="AL653" s="35"/>
      <c r="AV653" s="35"/>
      <c r="AW653" s="35"/>
      <c r="AX653" s="35"/>
      <c r="AY653" s="36"/>
      <c r="BF653" s="35"/>
      <c r="BG653" s="35"/>
      <c r="BO653" s="35"/>
      <c r="BP653" s="35"/>
      <c r="BW653" s="36"/>
      <c r="BX653" s="36"/>
      <c r="BY653" s="36"/>
      <c r="BZ653" s="36"/>
      <c r="CY653" s="33"/>
    </row>
    <row r="654" spans="2:103" s="32" customFormat="1" x14ac:dyDescent="0.15">
      <c r="B654" s="33"/>
      <c r="E654" s="35"/>
      <c r="H654" s="33"/>
      <c r="N654" s="114"/>
      <c r="O654" s="34"/>
      <c r="P654" s="33"/>
      <c r="Q654" s="33"/>
      <c r="AA654" s="33"/>
      <c r="AB654" s="33"/>
      <c r="AC654" s="33"/>
      <c r="AD654" s="139"/>
      <c r="AE654" s="33"/>
      <c r="AL654" s="35"/>
      <c r="AV654" s="35"/>
      <c r="AW654" s="35"/>
      <c r="AX654" s="35"/>
      <c r="AY654" s="36"/>
      <c r="BF654" s="35"/>
      <c r="BG654" s="35"/>
      <c r="BO654" s="35"/>
      <c r="BP654" s="35"/>
      <c r="BW654" s="36"/>
      <c r="BX654" s="36"/>
      <c r="BY654" s="36"/>
      <c r="BZ654" s="36"/>
      <c r="CY654" s="33"/>
    </row>
    <row r="655" spans="2:103" s="32" customFormat="1" x14ac:dyDescent="0.15">
      <c r="B655" s="33"/>
      <c r="E655" s="35"/>
      <c r="H655" s="33"/>
      <c r="N655" s="114"/>
      <c r="O655" s="34"/>
      <c r="P655" s="33"/>
      <c r="Q655" s="33"/>
      <c r="AA655" s="33"/>
      <c r="AB655" s="33"/>
      <c r="AC655" s="33"/>
      <c r="AD655" s="139"/>
      <c r="AE655" s="33"/>
      <c r="AL655" s="35"/>
      <c r="AV655" s="35"/>
      <c r="AW655" s="35"/>
      <c r="AX655" s="35"/>
      <c r="AY655" s="36"/>
      <c r="BF655" s="35"/>
      <c r="BG655" s="35"/>
      <c r="BO655" s="35"/>
      <c r="BP655" s="35"/>
      <c r="BW655" s="36"/>
      <c r="BX655" s="36"/>
      <c r="BY655" s="36"/>
      <c r="BZ655" s="36"/>
      <c r="CY655" s="33"/>
    </row>
    <row r="656" spans="2:103" s="32" customFormat="1" x14ac:dyDescent="0.15">
      <c r="B656" s="33"/>
      <c r="E656" s="35"/>
      <c r="H656" s="33"/>
      <c r="N656" s="114"/>
      <c r="O656" s="34"/>
      <c r="P656" s="33"/>
      <c r="Q656" s="33"/>
      <c r="AA656" s="33"/>
      <c r="AB656" s="33"/>
      <c r="AC656" s="33"/>
      <c r="AD656" s="139"/>
      <c r="AE656" s="33"/>
      <c r="AL656" s="35"/>
      <c r="AV656" s="35"/>
      <c r="AW656" s="35"/>
      <c r="AX656" s="35"/>
      <c r="AY656" s="36"/>
      <c r="BF656" s="35"/>
      <c r="BG656" s="35"/>
      <c r="BO656" s="35"/>
      <c r="BP656" s="35"/>
      <c r="BW656" s="36"/>
      <c r="BX656" s="36"/>
      <c r="BY656" s="36"/>
      <c r="BZ656" s="36"/>
      <c r="CY656" s="33"/>
    </row>
    <row r="657" spans="2:103" s="32" customFormat="1" x14ac:dyDescent="0.15">
      <c r="B657" s="33"/>
      <c r="E657" s="35"/>
      <c r="H657" s="33"/>
      <c r="N657" s="114"/>
      <c r="O657" s="34"/>
      <c r="P657" s="33"/>
      <c r="Q657" s="33"/>
      <c r="AA657" s="33"/>
      <c r="AB657" s="33"/>
      <c r="AC657" s="33"/>
      <c r="AD657" s="139"/>
      <c r="AE657" s="33"/>
      <c r="AL657" s="35"/>
      <c r="AV657" s="35"/>
      <c r="AW657" s="35"/>
      <c r="AX657" s="35"/>
      <c r="AY657" s="36"/>
      <c r="BF657" s="35"/>
      <c r="BG657" s="35"/>
      <c r="BO657" s="35"/>
      <c r="BP657" s="35"/>
      <c r="BW657" s="36"/>
      <c r="BX657" s="36"/>
      <c r="BY657" s="36"/>
      <c r="BZ657" s="36"/>
      <c r="CY657" s="33"/>
    </row>
    <row r="658" spans="2:103" s="32" customFormat="1" x14ac:dyDescent="0.15">
      <c r="B658" s="33"/>
      <c r="E658" s="35"/>
      <c r="H658" s="33"/>
      <c r="N658" s="114"/>
      <c r="O658" s="34"/>
      <c r="P658" s="33"/>
      <c r="Q658" s="33"/>
      <c r="AA658" s="33"/>
      <c r="AB658" s="33"/>
      <c r="AC658" s="33"/>
      <c r="AD658" s="139"/>
      <c r="AE658" s="33"/>
      <c r="AL658" s="35"/>
      <c r="AV658" s="35"/>
      <c r="AW658" s="35"/>
      <c r="AX658" s="35"/>
      <c r="AY658" s="36"/>
      <c r="BF658" s="35"/>
      <c r="BG658" s="35"/>
      <c r="BO658" s="35"/>
      <c r="BP658" s="35"/>
      <c r="BW658" s="36"/>
      <c r="BX658" s="36"/>
      <c r="BY658" s="36"/>
      <c r="BZ658" s="36"/>
      <c r="CY658" s="33"/>
    </row>
    <row r="659" spans="2:103" s="32" customFormat="1" x14ac:dyDescent="0.15">
      <c r="B659" s="33"/>
      <c r="E659" s="35"/>
      <c r="H659" s="33"/>
      <c r="N659" s="114"/>
      <c r="O659" s="34"/>
      <c r="P659" s="33"/>
      <c r="Q659" s="33"/>
      <c r="AA659" s="33"/>
      <c r="AB659" s="33"/>
      <c r="AC659" s="33"/>
      <c r="AD659" s="139"/>
      <c r="AE659" s="33"/>
      <c r="AL659" s="35"/>
      <c r="AV659" s="35"/>
      <c r="AW659" s="35"/>
      <c r="AX659" s="35"/>
      <c r="AY659" s="36"/>
      <c r="BF659" s="35"/>
      <c r="BG659" s="35"/>
      <c r="BO659" s="35"/>
      <c r="BP659" s="35"/>
      <c r="BW659" s="36"/>
      <c r="BX659" s="36"/>
      <c r="BY659" s="36"/>
      <c r="BZ659" s="36"/>
      <c r="CY659" s="33"/>
    </row>
    <row r="660" spans="2:103" s="32" customFormat="1" x14ac:dyDescent="0.15">
      <c r="B660" s="33"/>
      <c r="E660" s="35"/>
      <c r="H660" s="33"/>
      <c r="N660" s="114"/>
      <c r="O660" s="34"/>
      <c r="P660" s="33"/>
      <c r="Q660" s="33"/>
      <c r="AA660" s="33"/>
      <c r="AB660" s="33"/>
      <c r="AC660" s="33"/>
      <c r="AD660" s="139"/>
      <c r="AE660" s="33"/>
      <c r="AL660" s="35"/>
      <c r="AV660" s="35"/>
      <c r="AW660" s="35"/>
      <c r="AX660" s="35"/>
      <c r="AY660" s="36"/>
      <c r="BF660" s="35"/>
      <c r="BG660" s="35"/>
      <c r="BO660" s="35"/>
      <c r="BP660" s="35"/>
      <c r="BW660" s="36"/>
      <c r="BX660" s="36"/>
      <c r="BY660" s="36"/>
      <c r="BZ660" s="36"/>
      <c r="CY660" s="33"/>
    </row>
    <row r="661" spans="2:103" s="32" customFormat="1" x14ac:dyDescent="0.15">
      <c r="B661" s="33"/>
      <c r="E661" s="35"/>
      <c r="H661" s="33"/>
      <c r="N661" s="114"/>
      <c r="O661" s="34"/>
      <c r="P661" s="33"/>
      <c r="Q661" s="33"/>
      <c r="AA661" s="33"/>
      <c r="AB661" s="33"/>
      <c r="AC661" s="33"/>
      <c r="AD661" s="139"/>
      <c r="AE661" s="33"/>
      <c r="AL661" s="35"/>
      <c r="AV661" s="35"/>
      <c r="AW661" s="35"/>
      <c r="AX661" s="35"/>
      <c r="AY661" s="36"/>
      <c r="BF661" s="35"/>
      <c r="BG661" s="35"/>
      <c r="BO661" s="35"/>
      <c r="BP661" s="35"/>
      <c r="BW661" s="36"/>
      <c r="BX661" s="36"/>
      <c r="BY661" s="36"/>
      <c r="BZ661" s="36"/>
      <c r="CY661" s="33"/>
    </row>
    <row r="662" spans="2:103" s="32" customFormat="1" x14ac:dyDescent="0.15">
      <c r="B662" s="33"/>
      <c r="E662" s="35"/>
      <c r="H662" s="33"/>
      <c r="N662" s="114"/>
      <c r="O662" s="34"/>
      <c r="P662" s="33"/>
      <c r="Q662" s="33"/>
      <c r="AA662" s="33"/>
      <c r="AB662" s="33"/>
      <c r="AC662" s="33"/>
      <c r="AD662" s="139"/>
      <c r="AE662" s="33"/>
      <c r="AL662" s="35"/>
      <c r="AV662" s="35"/>
      <c r="AW662" s="35"/>
      <c r="AX662" s="35"/>
      <c r="AY662" s="36"/>
      <c r="BF662" s="35"/>
      <c r="BG662" s="35"/>
      <c r="BO662" s="35"/>
      <c r="BP662" s="35"/>
      <c r="BW662" s="36"/>
      <c r="BX662" s="36"/>
      <c r="BY662" s="36"/>
      <c r="BZ662" s="36"/>
      <c r="CY662" s="33"/>
    </row>
    <row r="663" spans="2:103" s="32" customFormat="1" x14ac:dyDescent="0.15">
      <c r="B663" s="33"/>
      <c r="E663" s="35"/>
      <c r="H663" s="33"/>
      <c r="N663" s="114"/>
      <c r="O663" s="34"/>
      <c r="P663" s="33"/>
      <c r="Q663" s="33"/>
      <c r="AA663" s="33"/>
      <c r="AB663" s="33"/>
      <c r="AC663" s="33"/>
      <c r="AD663" s="139"/>
      <c r="AE663" s="33"/>
      <c r="AL663" s="35"/>
      <c r="AV663" s="35"/>
      <c r="AW663" s="35"/>
      <c r="AX663" s="35"/>
      <c r="AY663" s="36"/>
      <c r="BF663" s="35"/>
      <c r="BG663" s="35"/>
      <c r="BO663" s="35"/>
      <c r="BP663" s="35"/>
      <c r="BW663" s="36"/>
      <c r="BX663" s="36"/>
      <c r="BY663" s="36"/>
      <c r="BZ663" s="36"/>
      <c r="CY663" s="33"/>
    </row>
    <row r="664" spans="2:103" s="32" customFormat="1" x14ac:dyDescent="0.15">
      <c r="B664" s="33"/>
      <c r="E664" s="35"/>
      <c r="H664" s="33"/>
      <c r="N664" s="114"/>
      <c r="O664" s="34"/>
      <c r="P664" s="33"/>
      <c r="Q664" s="33"/>
      <c r="AA664" s="33"/>
      <c r="AB664" s="33"/>
      <c r="AC664" s="33"/>
      <c r="AD664" s="139"/>
      <c r="AE664" s="33"/>
      <c r="AL664" s="35"/>
      <c r="AV664" s="35"/>
      <c r="AW664" s="35"/>
      <c r="AX664" s="35"/>
      <c r="AY664" s="36"/>
      <c r="BF664" s="35"/>
      <c r="BG664" s="35"/>
      <c r="BO664" s="35"/>
      <c r="BP664" s="35"/>
      <c r="BW664" s="36"/>
      <c r="BX664" s="36"/>
      <c r="BY664" s="36"/>
      <c r="BZ664" s="36"/>
      <c r="CY664" s="33"/>
    </row>
    <row r="665" spans="2:103" s="32" customFormat="1" x14ac:dyDescent="0.15">
      <c r="B665" s="33"/>
      <c r="E665" s="35"/>
      <c r="H665" s="33"/>
      <c r="N665" s="114"/>
      <c r="O665" s="34"/>
      <c r="P665" s="33"/>
      <c r="Q665" s="33"/>
      <c r="AA665" s="33"/>
      <c r="AB665" s="33"/>
      <c r="AC665" s="33"/>
      <c r="AD665" s="139"/>
      <c r="AE665" s="33"/>
      <c r="AL665" s="35"/>
      <c r="AV665" s="35"/>
      <c r="AW665" s="35"/>
      <c r="AX665" s="35"/>
      <c r="AY665" s="36"/>
      <c r="BF665" s="35"/>
      <c r="BG665" s="35"/>
      <c r="BO665" s="35"/>
      <c r="BP665" s="35"/>
      <c r="BW665" s="36"/>
      <c r="BX665" s="36"/>
      <c r="BY665" s="36"/>
      <c r="BZ665" s="36"/>
      <c r="CY665" s="33"/>
    </row>
    <row r="666" spans="2:103" s="32" customFormat="1" x14ac:dyDescent="0.15">
      <c r="B666" s="33"/>
      <c r="E666" s="35"/>
      <c r="H666" s="33"/>
      <c r="N666" s="114"/>
      <c r="O666" s="34"/>
      <c r="P666" s="33"/>
      <c r="Q666" s="33"/>
      <c r="AA666" s="33"/>
      <c r="AB666" s="33"/>
      <c r="AC666" s="33"/>
      <c r="AD666" s="139"/>
      <c r="AE666" s="33"/>
      <c r="AL666" s="35"/>
      <c r="AV666" s="35"/>
      <c r="AW666" s="35"/>
      <c r="AX666" s="35"/>
      <c r="AY666" s="36"/>
      <c r="BF666" s="35"/>
      <c r="BG666" s="35"/>
      <c r="BO666" s="35"/>
      <c r="BP666" s="35"/>
      <c r="BW666" s="36"/>
      <c r="BX666" s="36"/>
      <c r="BY666" s="36"/>
      <c r="BZ666" s="36"/>
      <c r="CY666" s="33"/>
    </row>
    <row r="667" spans="2:103" s="32" customFormat="1" x14ac:dyDescent="0.15">
      <c r="B667" s="33"/>
      <c r="E667" s="35"/>
      <c r="H667" s="33"/>
      <c r="N667" s="114"/>
      <c r="O667" s="34"/>
      <c r="P667" s="33"/>
      <c r="Q667" s="33"/>
      <c r="AA667" s="33"/>
      <c r="AB667" s="33"/>
      <c r="AC667" s="33"/>
      <c r="AD667" s="139"/>
      <c r="AE667" s="33"/>
      <c r="AL667" s="35"/>
      <c r="AV667" s="35"/>
      <c r="AW667" s="35"/>
      <c r="AX667" s="35"/>
      <c r="AY667" s="36"/>
      <c r="BF667" s="35"/>
      <c r="BG667" s="35"/>
      <c r="BO667" s="35"/>
      <c r="BP667" s="35"/>
      <c r="BW667" s="36"/>
      <c r="BX667" s="36"/>
      <c r="BY667" s="36"/>
      <c r="BZ667" s="36"/>
      <c r="CY667" s="33"/>
    </row>
    <row r="668" spans="2:103" s="32" customFormat="1" x14ac:dyDescent="0.15">
      <c r="B668" s="33"/>
      <c r="E668" s="35"/>
      <c r="H668" s="33"/>
      <c r="N668" s="114"/>
      <c r="O668" s="34"/>
      <c r="P668" s="33"/>
      <c r="Q668" s="33"/>
      <c r="AA668" s="33"/>
      <c r="AB668" s="33"/>
      <c r="AC668" s="33"/>
      <c r="AD668" s="139"/>
      <c r="AE668" s="33"/>
      <c r="AL668" s="35"/>
      <c r="AV668" s="35"/>
      <c r="AW668" s="35"/>
      <c r="AX668" s="35"/>
      <c r="AY668" s="36"/>
      <c r="BF668" s="35"/>
      <c r="BG668" s="35"/>
      <c r="BO668" s="35"/>
      <c r="BP668" s="35"/>
      <c r="BW668" s="36"/>
      <c r="BX668" s="36"/>
      <c r="BY668" s="36"/>
      <c r="BZ668" s="36"/>
      <c r="CY668" s="33"/>
    </row>
    <row r="669" spans="2:103" s="32" customFormat="1" x14ac:dyDescent="0.15">
      <c r="B669" s="33"/>
      <c r="E669" s="35"/>
      <c r="H669" s="33"/>
      <c r="N669" s="114"/>
      <c r="O669" s="34"/>
      <c r="P669" s="33"/>
      <c r="Q669" s="33"/>
      <c r="AA669" s="33"/>
      <c r="AB669" s="33"/>
      <c r="AC669" s="33"/>
      <c r="AD669" s="139"/>
      <c r="AE669" s="33"/>
      <c r="AL669" s="35"/>
      <c r="AV669" s="35"/>
      <c r="AW669" s="35"/>
      <c r="AX669" s="35"/>
      <c r="AY669" s="36"/>
      <c r="BF669" s="35"/>
      <c r="BG669" s="35"/>
      <c r="BO669" s="35"/>
      <c r="BP669" s="35"/>
      <c r="BW669" s="36"/>
      <c r="BX669" s="36"/>
      <c r="BY669" s="36"/>
      <c r="BZ669" s="36"/>
      <c r="CY669" s="33"/>
    </row>
    <row r="670" spans="2:103" s="32" customFormat="1" x14ac:dyDescent="0.15">
      <c r="B670" s="33"/>
      <c r="E670" s="35"/>
      <c r="H670" s="33"/>
      <c r="N670" s="114"/>
      <c r="O670" s="34"/>
      <c r="P670" s="33"/>
      <c r="Q670" s="33"/>
      <c r="AA670" s="33"/>
      <c r="AB670" s="33"/>
      <c r="AC670" s="33"/>
      <c r="AD670" s="139"/>
      <c r="AE670" s="33"/>
      <c r="AL670" s="35"/>
      <c r="AV670" s="35"/>
      <c r="AW670" s="35"/>
      <c r="AX670" s="35"/>
      <c r="AY670" s="36"/>
      <c r="BF670" s="35"/>
      <c r="BG670" s="35"/>
      <c r="BO670" s="35"/>
      <c r="BP670" s="35"/>
      <c r="BW670" s="36"/>
      <c r="BX670" s="36"/>
      <c r="BY670" s="36"/>
      <c r="BZ670" s="36"/>
      <c r="CY670" s="33"/>
    </row>
    <row r="671" spans="2:103" s="32" customFormat="1" x14ac:dyDescent="0.15">
      <c r="B671" s="33"/>
      <c r="E671" s="35"/>
      <c r="H671" s="33"/>
      <c r="N671" s="114"/>
      <c r="O671" s="34"/>
      <c r="P671" s="33"/>
      <c r="Q671" s="33"/>
      <c r="AA671" s="33"/>
      <c r="AB671" s="33"/>
      <c r="AC671" s="33"/>
      <c r="AD671" s="139"/>
      <c r="AE671" s="33"/>
      <c r="AL671" s="35"/>
      <c r="AV671" s="35"/>
      <c r="AW671" s="35"/>
      <c r="AX671" s="35"/>
      <c r="AY671" s="36"/>
      <c r="BF671" s="35"/>
      <c r="BG671" s="35"/>
      <c r="BO671" s="35"/>
      <c r="BP671" s="35"/>
      <c r="BW671" s="36"/>
      <c r="BX671" s="36"/>
      <c r="BY671" s="36"/>
      <c r="BZ671" s="36"/>
      <c r="CY671" s="33"/>
    </row>
    <row r="672" spans="2:103" s="32" customFormat="1" x14ac:dyDescent="0.15">
      <c r="B672" s="33"/>
      <c r="E672" s="35"/>
      <c r="H672" s="33"/>
      <c r="N672" s="114"/>
      <c r="O672" s="34"/>
      <c r="P672" s="33"/>
      <c r="Q672" s="33"/>
      <c r="AA672" s="33"/>
      <c r="AB672" s="33"/>
      <c r="AC672" s="33"/>
      <c r="AD672" s="139"/>
      <c r="AE672" s="33"/>
      <c r="AL672" s="35"/>
      <c r="AV672" s="35"/>
      <c r="AW672" s="35"/>
      <c r="AX672" s="35"/>
      <c r="AY672" s="36"/>
      <c r="BF672" s="35"/>
      <c r="BG672" s="35"/>
      <c r="BO672" s="35"/>
      <c r="BP672" s="35"/>
      <c r="BW672" s="36"/>
      <c r="BX672" s="36"/>
      <c r="BY672" s="36"/>
      <c r="BZ672" s="36"/>
      <c r="CY672" s="33"/>
    </row>
    <row r="673" spans="2:103" s="32" customFormat="1" x14ac:dyDescent="0.15">
      <c r="B673" s="33"/>
      <c r="E673" s="35"/>
      <c r="H673" s="33"/>
      <c r="N673" s="114"/>
      <c r="O673" s="34"/>
      <c r="P673" s="33"/>
      <c r="Q673" s="33"/>
      <c r="AA673" s="33"/>
      <c r="AB673" s="33"/>
      <c r="AC673" s="33"/>
      <c r="AD673" s="139"/>
      <c r="AE673" s="33"/>
      <c r="AL673" s="35"/>
      <c r="AV673" s="35"/>
      <c r="AW673" s="35"/>
      <c r="AX673" s="35"/>
      <c r="AY673" s="36"/>
      <c r="BF673" s="35"/>
      <c r="BG673" s="35"/>
      <c r="BO673" s="35"/>
      <c r="BP673" s="35"/>
      <c r="BW673" s="36"/>
      <c r="BX673" s="36"/>
      <c r="BY673" s="36"/>
      <c r="BZ673" s="36"/>
      <c r="CY673" s="33"/>
    </row>
    <row r="674" spans="2:103" s="32" customFormat="1" x14ac:dyDescent="0.15">
      <c r="B674" s="33"/>
      <c r="E674" s="35"/>
      <c r="H674" s="33"/>
      <c r="N674" s="114"/>
      <c r="O674" s="34"/>
      <c r="P674" s="33"/>
      <c r="Q674" s="33"/>
      <c r="AA674" s="33"/>
      <c r="AB674" s="33"/>
      <c r="AC674" s="33"/>
      <c r="AD674" s="139"/>
      <c r="AE674" s="33"/>
      <c r="AL674" s="35"/>
      <c r="AV674" s="35"/>
      <c r="AW674" s="35"/>
      <c r="AX674" s="35"/>
      <c r="AY674" s="36"/>
      <c r="BF674" s="35"/>
      <c r="BG674" s="35"/>
      <c r="BO674" s="35"/>
      <c r="BP674" s="35"/>
      <c r="BW674" s="36"/>
      <c r="BX674" s="36"/>
      <c r="BY674" s="36"/>
      <c r="BZ674" s="36"/>
      <c r="CY674" s="33"/>
    </row>
    <row r="675" spans="2:103" s="32" customFormat="1" x14ac:dyDescent="0.15">
      <c r="B675" s="33"/>
      <c r="E675" s="35"/>
      <c r="H675" s="33"/>
      <c r="N675" s="114"/>
      <c r="O675" s="34"/>
      <c r="P675" s="33"/>
      <c r="Q675" s="33"/>
      <c r="AA675" s="33"/>
      <c r="AB675" s="33"/>
      <c r="AC675" s="33"/>
      <c r="AD675" s="139"/>
      <c r="AE675" s="33"/>
      <c r="AL675" s="35"/>
      <c r="AV675" s="35"/>
      <c r="AW675" s="35"/>
      <c r="AX675" s="35"/>
      <c r="AY675" s="36"/>
      <c r="BF675" s="35"/>
      <c r="BG675" s="35"/>
      <c r="BO675" s="35"/>
      <c r="BP675" s="35"/>
      <c r="BW675" s="36"/>
      <c r="BX675" s="36"/>
      <c r="BY675" s="36"/>
      <c r="BZ675" s="36"/>
      <c r="CY675" s="33"/>
    </row>
    <row r="676" spans="2:103" s="32" customFormat="1" x14ac:dyDescent="0.15">
      <c r="B676" s="33"/>
      <c r="E676" s="35"/>
      <c r="H676" s="33"/>
      <c r="N676" s="114"/>
      <c r="O676" s="34"/>
      <c r="P676" s="33"/>
      <c r="Q676" s="33"/>
      <c r="AA676" s="33"/>
      <c r="AB676" s="33"/>
      <c r="AC676" s="33"/>
      <c r="AD676" s="139"/>
      <c r="AE676" s="33"/>
      <c r="AL676" s="35"/>
      <c r="AV676" s="35"/>
      <c r="AW676" s="35"/>
      <c r="AX676" s="35"/>
      <c r="AY676" s="36"/>
      <c r="BF676" s="35"/>
      <c r="BG676" s="35"/>
      <c r="BO676" s="35"/>
      <c r="BP676" s="35"/>
      <c r="BW676" s="36"/>
      <c r="BX676" s="36"/>
      <c r="BY676" s="36"/>
      <c r="BZ676" s="36"/>
      <c r="CY676" s="33"/>
    </row>
    <row r="677" spans="2:103" s="32" customFormat="1" x14ac:dyDescent="0.15">
      <c r="B677" s="33"/>
      <c r="E677" s="35"/>
      <c r="H677" s="33"/>
      <c r="N677" s="114"/>
      <c r="O677" s="34"/>
      <c r="P677" s="33"/>
      <c r="Q677" s="33"/>
      <c r="AA677" s="33"/>
      <c r="AB677" s="33"/>
      <c r="AC677" s="33"/>
      <c r="AD677" s="139"/>
      <c r="AE677" s="33"/>
      <c r="AL677" s="35"/>
      <c r="AV677" s="35"/>
      <c r="AW677" s="35"/>
      <c r="AX677" s="35"/>
      <c r="AY677" s="36"/>
      <c r="BF677" s="35"/>
      <c r="BG677" s="35"/>
      <c r="BO677" s="35"/>
      <c r="BP677" s="35"/>
      <c r="BW677" s="36"/>
      <c r="BX677" s="36"/>
      <c r="BY677" s="36"/>
      <c r="BZ677" s="36"/>
      <c r="CY677" s="33"/>
    </row>
    <row r="678" spans="2:103" s="32" customFormat="1" x14ac:dyDescent="0.15">
      <c r="B678" s="33"/>
      <c r="E678" s="35"/>
      <c r="H678" s="33"/>
      <c r="N678" s="114"/>
      <c r="O678" s="34"/>
      <c r="P678" s="33"/>
      <c r="Q678" s="33"/>
      <c r="AA678" s="33"/>
      <c r="AB678" s="33"/>
      <c r="AC678" s="33"/>
      <c r="AD678" s="139"/>
      <c r="AE678" s="33"/>
      <c r="AL678" s="35"/>
      <c r="AV678" s="35"/>
      <c r="AW678" s="35"/>
      <c r="AX678" s="35"/>
      <c r="AY678" s="36"/>
      <c r="BF678" s="35"/>
      <c r="BG678" s="35"/>
      <c r="BO678" s="35"/>
      <c r="BP678" s="35"/>
      <c r="BW678" s="36"/>
      <c r="BX678" s="36"/>
      <c r="BY678" s="36"/>
      <c r="BZ678" s="36"/>
      <c r="CY678" s="33"/>
    </row>
    <row r="679" spans="2:103" s="32" customFormat="1" x14ac:dyDescent="0.15">
      <c r="B679" s="33"/>
      <c r="E679" s="35"/>
      <c r="H679" s="33"/>
      <c r="N679" s="114"/>
      <c r="O679" s="34"/>
      <c r="P679" s="33"/>
      <c r="Q679" s="33"/>
      <c r="AA679" s="33"/>
      <c r="AB679" s="33"/>
      <c r="AC679" s="33"/>
      <c r="AD679" s="139"/>
      <c r="AE679" s="33"/>
      <c r="AL679" s="35"/>
      <c r="AV679" s="35"/>
      <c r="AW679" s="35"/>
      <c r="AX679" s="35"/>
      <c r="AY679" s="36"/>
      <c r="BF679" s="35"/>
      <c r="BG679" s="35"/>
      <c r="BO679" s="35"/>
      <c r="BP679" s="35"/>
      <c r="BW679" s="36"/>
      <c r="BX679" s="36"/>
      <c r="BY679" s="36"/>
      <c r="BZ679" s="36"/>
      <c r="CY679" s="33"/>
    </row>
    <row r="680" spans="2:103" s="32" customFormat="1" x14ac:dyDescent="0.15">
      <c r="B680" s="33"/>
      <c r="E680" s="35"/>
      <c r="H680" s="33"/>
      <c r="N680" s="114"/>
      <c r="O680" s="34"/>
      <c r="P680" s="33"/>
      <c r="Q680" s="33"/>
      <c r="AA680" s="33"/>
      <c r="AB680" s="33"/>
      <c r="AC680" s="33"/>
      <c r="AD680" s="139"/>
      <c r="AE680" s="33"/>
      <c r="AL680" s="35"/>
      <c r="AV680" s="35"/>
      <c r="AW680" s="35"/>
      <c r="AX680" s="35"/>
      <c r="AY680" s="36"/>
      <c r="BF680" s="35"/>
      <c r="BG680" s="35"/>
      <c r="BO680" s="35"/>
      <c r="BP680" s="35"/>
      <c r="BW680" s="36"/>
      <c r="BX680" s="36"/>
      <c r="BY680" s="36"/>
      <c r="BZ680" s="36"/>
      <c r="CY680" s="33"/>
    </row>
    <row r="681" spans="2:103" s="32" customFormat="1" x14ac:dyDescent="0.15">
      <c r="B681" s="33"/>
      <c r="E681" s="35"/>
      <c r="H681" s="33"/>
      <c r="N681" s="114"/>
      <c r="O681" s="34"/>
      <c r="P681" s="33"/>
      <c r="Q681" s="33"/>
      <c r="AA681" s="33"/>
      <c r="AB681" s="33"/>
      <c r="AC681" s="33"/>
      <c r="AD681" s="139"/>
      <c r="AE681" s="33"/>
      <c r="AL681" s="35"/>
      <c r="AV681" s="35"/>
      <c r="AW681" s="35"/>
      <c r="AX681" s="35"/>
      <c r="AY681" s="36"/>
      <c r="BF681" s="35"/>
      <c r="BG681" s="35"/>
      <c r="BO681" s="35"/>
      <c r="BP681" s="35"/>
      <c r="BW681" s="36"/>
      <c r="BX681" s="36"/>
      <c r="BY681" s="36"/>
      <c r="BZ681" s="36"/>
      <c r="CY681" s="33"/>
    </row>
    <row r="682" spans="2:103" s="32" customFormat="1" x14ac:dyDescent="0.15">
      <c r="B682" s="33"/>
      <c r="E682" s="35"/>
      <c r="H682" s="33"/>
      <c r="N682" s="114"/>
      <c r="O682" s="34"/>
      <c r="P682" s="33"/>
      <c r="Q682" s="33"/>
      <c r="AA682" s="33"/>
      <c r="AB682" s="33"/>
      <c r="AC682" s="33"/>
      <c r="AD682" s="139"/>
      <c r="AE682" s="33"/>
      <c r="AL682" s="35"/>
      <c r="AV682" s="35"/>
      <c r="AW682" s="35"/>
      <c r="AX682" s="35"/>
      <c r="AY682" s="36"/>
      <c r="BF682" s="35"/>
      <c r="BG682" s="35"/>
      <c r="BO682" s="35"/>
      <c r="BP682" s="35"/>
      <c r="BW682" s="36"/>
      <c r="BX682" s="36"/>
      <c r="BY682" s="36"/>
      <c r="BZ682" s="36"/>
      <c r="CY682" s="33"/>
    </row>
    <row r="683" spans="2:103" s="32" customFormat="1" x14ac:dyDescent="0.15">
      <c r="B683" s="33"/>
      <c r="E683" s="35"/>
      <c r="H683" s="33"/>
      <c r="N683" s="114"/>
      <c r="O683" s="34"/>
      <c r="P683" s="33"/>
      <c r="Q683" s="33"/>
      <c r="AA683" s="33"/>
      <c r="AB683" s="33"/>
      <c r="AC683" s="33"/>
      <c r="AD683" s="139"/>
      <c r="AE683" s="33"/>
      <c r="AL683" s="35"/>
      <c r="AV683" s="35"/>
      <c r="AW683" s="35"/>
      <c r="AX683" s="35"/>
      <c r="AY683" s="36"/>
      <c r="BF683" s="35"/>
      <c r="BG683" s="35"/>
      <c r="BO683" s="35"/>
      <c r="BP683" s="35"/>
      <c r="BW683" s="36"/>
      <c r="BX683" s="36"/>
      <c r="BY683" s="36"/>
      <c r="BZ683" s="36"/>
      <c r="CY683" s="33"/>
    </row>
    <row r="684" spans="2:103" s="32" customFormat="1" x14ac:dyDescent="0.15">
      <c r="B684" s="33"/>
      <c r="E684" s="35"/>
      <c r="H684" s="33"/>
      <c r="N684" s="114"/>
      <c r="O684" s="34"/>
      <c r="P684" s="33"/>
      <c r="Q684" s="33"/>
      <c r="AA684" s="33"/>
      <c r="AB684" s="33"/>
      <c r="AC684" s="33"/>
      <c r="AD684" s="139"/>
      <c r="AE684" s="33"/>
      <c r="AL684" s="35"/>
      <c r="AV684" s="35"/>
      <c r="AW684" s="35"/>
      <c r="AX684" s="35"/>
      <c r="AY684" s="36"/>
      <c r="BF684" s="35"/>
      <c r="BG684" s="35"/>
      <c r="BO684" s="35"/>
      <c r="BP684" s="35"/>
      <c r="BW684" s="36"/>
      <c r="BX684" s="36"/>
      <c r="BY684" s="36"/>
      <c r="BZ684" s="36"/>
      <c r="CY684" s="33"/>
    </row>
    <row r="685" spans="2:103" s="32" customFormat="1" x14ac:dyDescent="0.15">
      <c r="B685" s="33"/>
      <c r="E685" s="35"/>
      <c r="H685" s="33"/>
      <c r="N685" s="114"/>
      <c r="O685" s="34"/>
      <c r="P685" s="33"/>
      <c r="Q685" s="33"/>
      <c r="AA685" s="33"/>
      <c r="AB685" s="33"/>
      <c r="AC685" s="33"/>
      <c r="AD685" s="139"/>
      <c r="AE685" s="33"/>
      <c r="AL685" s="35"/>
      <c r="AV685" s="35"/>
      <c r="AW685" s="35"/>
      <c r="AX685" s="35"/>
      <c r="AY685" s="36"/>
      <c r="BF685" s="35"/>
      <c r="BG685" s="35"/>
      <c r="BO685" s="35"/>
      <c r="BP685" s="35"/>
      <c r="BW685" s="36"/>
      <c r="BX685" s="36"/>
      <c r="BY685" s="36"/>
      <c r="BZ685" s="36"/>
      <c r="CY685" s="33"/>
    </row>
    <row r="686" spans="2:103" s="32" customFormat="1" x14ac:dyDescent="0.15">
      <c r="B686" s="33"/>
      <c r="E686" s="35"/>
      <c r="H686" s="33"/>
      <c r="N686" s="114"/>
      <c r="O686" s="34"/>
      <c r="P686" s="33"/>
      <c r="Q686" s="33"/>
      <c r="AA686" s="33"/>
      <c r="AB686" s="33"/>
      <c r="AC686" s="33"/>
      <c r="AD686" s="139"/>
      <c r="AE686" s="33"/>
      <c r="AL686" s="35"/>
      <c r="AV686" s="35"/>
      <c r="AW686" s="35"/>
      <c r="AX686" s="35"/>
      <c r="AY686" s="36"/>
      <c r="BF686" s="35"/>
      <c r="BG686" s="35"/>
      <c r="BO686" s="35"/>
      <c r="BP686" s="35"/>
      <c r="BW686" s="36"/>
      <c r="BX686" s="36"/>
      <c r="BY686" s="36"/>
      <c r="BZ686" s="36"/>
      <c r="CY686" s="33"/>
    </row>
    <row r="687" spans="2:103" s="32" customFormat="1" x14ac:dyDescent="0.15">
      <c r="B687" s="33"/>
      <c r="E687" s="35"/>
      <c r="H687" s="33"/>
      <c r="N687" s="114"/>
      <c r="O687" s="34"/>
      <c r="P687" s="33"/>
      <c r="Q687" s="33"/>
      <c r="AA687" s="33"/>
      <c r="AB687" s="33"/>
      <c r="AC687" s="33"/>
      <c r="AD687" s="139"/>
      <c r="AE687" s="33"/>
      <c r="AL687" s="35"/>
      <c r="AV687" s="35"/>
      <c r="AW687" s="35"/>
      <c r="AX687" s="35"/>
      <c r="AY687" s="36"/>
      <c r="BF687" s="35"/>
      <c r="BG687" s="35"/>
      <c r="BO687" s="35"/>
      <c r="BP687" s="35"/>
      <c r="BW687" s="36"/>
      <c r="BX687" s="36"/>
      <c r="BY687" s="36"/>
      <c r="BZ687" s="36"/>
      <c r="CY687" s="33"/>
    </row>
    <row r="688" spans="2:103" s="32" customFormat="1" x14ac:dyDescent="0.15">
      <c r="B688" s="33"/>
      <c r="E688" s="35"/>
      <c r="H688" s="33"/>
      <c r="N688" s="114"/>
      <c r="O688" s="34"/>
      <c r="P688" s="33"/>
      <c r="Q688" s="33"/>
      <c r="AA688" s="33"/>
      <c r="AB688" s="33"/>
      <c r="AC688" s="33"/>
      <c r="AD688" s="139"/>
      <c r="AE688" s="33"/>
      <c r="AL688" s="35"/>
      <c r="AV688" s="35"/>
      <c r="AW688" s="35"/>
      <c r="AX688" s="35"/>
      <c r="AY688" s="36"/>
      <c r="BF688" s="35"/>
      <c r="BG688" s="35"/>
      <c r="BO688" s="35"/>
      <c r="BP688" s="35"/>
      <c r="BW688" s="36"/>
      <c r="BX688" s="36"/>
      <c r="BY688" s="36"/>
      <c r="BZ688" s="36"/>
      <c r="CY688" s="33"/>
    </row>
    <row r="689" spans="2:103" s="32" customFormat="1" x14ac:dyDescent="0.15">
      <c r="B689" s="33"/>
      <c r="E689" s="35"/>
      <c r="H689" s="33"/>
      <c r="N689" s="114"/>
      <c r="O689" s="34"/>
      <c r="P689" s="33"/>
      <c r="Q689" s="33"/>
      <c r="AA689" s="33"/>
      <c r="AB689" s="33"/>
      <c r="AC689" s="33"/>
      <c r="AD689" s="139"/>
      <c r="AE689" s="33"/>
      <c r="AL689" s="35"/>
      <c r="AV689" s="35"/>
      <c r="AW689" s="35"/>
      <c r="AX689" s="35"/>
      <c r="AY689" s="36"/>
      <c r="BF689" s="35"/>
      <c r="BG689" s="35"/>
      <c r="BO689" s="35"/>
      <c r="BP689" s="35"/>
      <c r="BW689" s="36"/>
      <c r="BX689" s="36"/>
      <c r="BY689" s="36"/>
      <c r="BZ689" s="36"/>
      <c r="CY689" s="33"/>
    </row>
    <row r="690" spans="2:103" s="32" customFormat="1" x14ac:dyDescent="0.15">
      <c r="B690" s="33"/>
      <c r="E690" s="35"/>
      <c r="H690" s="33"/>
      <c r="N690" s="114"/>
      <c r="O690" s="34"/>
      <c r="P690" s="33"/>
      <c r="Q690" s="33"/>
      <c r="AA690" s="33"/>
      <c r="AB690" s="33"/>
      <c r="AC690" s="33"/>
      <c r="AD690" s="139"/>
      <c r="AE690" s="33"/>
      <c r="AL690" s="35"/>
      <c r="AV690" s="35"/>
      <c r="AW690" s="35"/>
      <c r="AX690" s="35"/>
      <c r="AY690" s="36"/>
      <c r="BF690" s="35"/>
      <c r="BG690" s="35"/>
      <c r="BO690" s="35"/>
      <c r="BP690" s="35"/>
      <c r="BW690" s="36"/>
      <c r="BX690" s="36"/>
      <c r="BY690" s="36"/>
      <c r="BZ690" s="36"/>
      <c r="CY690" s="33"/>
    </row>
    <row r="691" spans="2:103" s="32" customFormat="1" x14ac:dyDescent="0.15">
      <c r="B691" s="33"/>
      <c r="E691" s="35"/>
      <c r="H691" s="33"/>
      <c r="N691" s="114"/>
      <c r="O691" s="34"/>
      <c r="P691" s="33"/>
      <c r="Q691" s="33"/>
      <c r="AA691" s="33"/>
      <c r="AB691" s="33"/>
      <c r="AC691" s="33"/>
      <c r="AD691" s="139"/>
      <c r="AE691" s="33"/>
      <c r="AL691" s="35"/>
      <c r="AV691" s="35"/>
      <c r="AW691" s="35"/>
      <c r="AX691" s="35"/>
      <c r="AY691" s="36"/>
      <c r="BF691" s="35"/>
      <c r="BG691" s="35"/>
      <c r="BO691" s="35"/>
      <c r="BP691" s="35"/>
      <c r="BW691" s="36"/>
      <c r="BX691" s="36"/>
      <c r="BY691" s="36"/>
      <c r="BZ691" s="36"/>
      <c r="CY691" s="33"/>
    </row>
    <row r="692" spans="2:103" s="32" customFormat="1" x14ac:dyDescent="0.15">
      <c r="B692" s="33"/>
      <c r="E692" s="35"/>
      <c r="H692" s="33"/>
      <c r="N692" s="114"/>
      <c r="O692" s="34"/>
      <c r="P692" s="33"/>
      <c r="Q692" s="33"/>
      <c r="AA692" s="33"/>
      <c r="AB692" s="33"/>
      <c r="AC692" s="33"/>
      <c r="AD692" s="139"/>
      <c r="AE692" s="33"/>
      <c r="AL692" s="35"/>
      <c r="AV692" s="35"/>
      <c r="AW692" s="35"/>
      <c r="AX692" s="35"/>
      <c r="AY692" s="36"/>
      <c r="BF692" s="35"/>
      <c r="BG692" s="35"/>
      <c r="BO692" s="35"/>
      <c r="BP692" s="35"/>
      <c r="BW692" s="36"/>
      <c r="BX692" s="36"/>
      <c r="BY692" s="36"/>
      <c r="BZ692" s="36"/>
      <c r="CY692" s="33"/>
    </row>
    <row r="693" spans="2:103" s="32" customFormat="1" x14ac:dyDescent="0.15">
      <c r="B693" s="33"/>
      <c r="E693" s="35"/>
      <c r="H693" s="33"/>
      <c r="N693" s="114"/>
      <c r="O693" s="34"/>
      <c r="P693" s="33"/>
      <c r="Q693" s="33"/>
      <c r="AA693" s="33"/>
      <c r="AB693" s="33"/>
      <c r="AC693" s="33"/>
      <c r="AD693" s="139"/>
      <c r="AE693" s="33"/>
      <c r="AL693" s="35"/>
      <c r="AV693" s="35"/>
      <c r="AW693" s="35"/>
      <c r="AX693" s="35"/>
      <c r="AY693" s="36"/>
      <c r="BF693" s="35"/>
      <c r="BG693" s="35"/>
      <c r="BO693" s="35"/>
      <c r="BP693" s="35"/>
      <c r="BW693" s="36"/>
      <c r="BX693" s="36"/>
      <c r="BY693" s="36"/>
      <c r="BZ693" s="36"/>
      <c r="CY693" s="33"/>
    </row>
    <row r="694" spans="2:103" s="32" customFormat="1" x14ac:dyDescent="0.15">
      <c r="B694" s="33"/>
      <c r="E694" s="35"/>
      <c r="H694" s="33"/>
      <c r="N694" s="114"/>
      <c r="O694" s="34"/>
      <c r="P694" s="33"/>
      <c r="Q694" s="33"/>
      <c r="AA694" s="33"/>
      <c r="AB694" s="33"/>
      <c r="AC694" s="33"/>
      <c r="AD694" s="139"/>
      <c r="AE694" s="33"/>
      <c r="AL694" s="35"/>
      <c r="AV694" s="35"/>
      <c r="AW694" s="35"/>
      <c r="AX694" s="35"/>
      <c r="AY694" s="36"/>
      <c r="BF694" s="35"/>
      <c r="BG694" s="35"/>
      <c r="BO694" s="35"/>
      <c r="BP694" s="35"/>
      <c r="BW694" s="36"/>
      <c r="BX694" s="36"/>
      <c r="BY694" s="36"/>
      <c r="BZ694" s="36"/>
      <c r="CY694" s="33"/>
    </row>
    <row r="695" spans="2:103" s="32" customFormat="1" x14ac:dyDescent="0.15">
      <c r="B695" s="33"/>
      <c r="E695" s="35"/>
      <c r="H695" s="33"/>
      <c r="N695" s="114"/>
      <c r="O695" s="34"/>
      <c r="P695" s="33"/>
      <c r="Q695" s="33"/>
      <c r="AA695" s="33"/>
      <c r="AB695" s="33"/>
      <c r="AC695" s="33"/>
      <c r="AD695" s="139"/>
      <c r="AE695" s="33"/>
      <c r="AL695" s="35"/>
      <c r="AV695" s="35"/>
      <c r="AW695" s="35"/>
      <c r="AX695" s="35"/>
      <c r="AY695" s="36"/>
      <c r="BF695" s="35"/>
      <c r="BG695" s="35"/>
      <c r="BO695" s="35"/>
      <c r="BP695" s="35"/>
      <c r="BW695" s="36"/>
      <c r="BX695" s="36"/>
      <c r="BY695" s="36"/>
      <c r="BZ695" s="36"/>
      <c r="CY695" s="33"/>
    </row>
    <row r="696" spans="2:103" s="32" customFormat="1" x14ac:dyDescent="0.15">
      <c r="B696" s="33"/>
      <c r="E696" s="35"/>
      <c r="H696" s="33"/>
      <c r="N696" s="114"/>
      <c r="O696" s="34"/>
      <c r="P696" s="33"/>
      <c r="Q696" s="33"/>
      <c r="AA696" s="33"/>
      <c r="AB696" s="33"/>
      <c r="AC696" s="33"/>
      <c r="AD696" s="139"/>
      <c r="AE696" s="33"/>
      <c r="AL696" s="35"/>
      <c r="AV696" s="35"/>
      <c r="AW696" s="35"/>
      <c r="AX696" s="35"/>
      <c r="AY696" s="36"/>
      <c r="BF696" s="35"/>
      <c r="BG696" s="35"/>
      <c r="BO696" s="35"/>
      <c r="BP696" s="35"/>
      <c r="BW696" s="36"/>
      <c r="BX696" s="36"/>
      <c r="BY696" s="36"/>
      <c r="BZ696" s="36"/>
      <c r="CY696" s="33"/>
    </row>
    <row r="697" spans="2:103" s="32" customFormat="1" x14ac:dyDescent="0.15">
      <c r="B697" s="33"/>
      <c r="E697" s="35"/>
      <c r="H697" s="33"/>
      <c r="N697" s="114"/>
      <c r="O697" s="34"/>
      <c r="P697" s="33"/>
      <c r="Q697" s="33"/>
      <c r="AA697" s="33"/>
      <c r="AB697" s="33"/>
      <c r="AC697" s="33"/>
      <c r="AD697" s="139"/>
      <c r="AE697" s="33"/>
      <c r="AL697" s="35"/>
      <c r="AV697" s="35"/>
      <c r="AW697" s="35"/>
      <c r="AX697" s="35"/>
      <c r="AY697" s="36"/>
      <c r="BF697" s="35"/>
      <c r="BG697" s="35"/>
      <c r="BO697" s="35"/>
      <c r="BP697" s="35"/>
      <c r="BW697" s="36"/>
      <c r="BX697" s="36"/>
      <c r="BY697" s="36"/>
      <c r="BZ697" s="36"/>
      <c r="CY697" s="33"/>
    </row>
    <row r="698" spans="2:103" s="32" customFormat="1" x14ac:dyDescent="0.15">
      <c r="B698" s="33"/>
      <c r="E698" s="35"/>
      <c r="H698" s="33"/>
      <c r="N698" s="114"/>
      <c r="O698" s="34"/>
      <c r="P698" s="33"/>
      <c r="Q698" s="33"/>
      <c r="AA698" s="33"/>
      <c r="AB698" s="33"/>
      <c r="AC698" s="33"/>
      <c r="AD698" s="139"/>
      <c r="AE698" s="33"/>
      <c r="AL698" s="35"/>
      <c r="AV698" s="35"/>
      <c r="AW698" s="35"/>
      <c r="AX698" s="35"/>
      <c r="AY698" s="36"/>
      <c r="BF698" s="35"/>
      <c r="BG698" s="35"/>
      <c r="BO698" s="35"/>
      <c r="BP698" s="35"/>
      <c r="BW698" s="36"/>
      <c r="BX698" s="36"/>
      <c r="BY698" s="36"/>
      <c r="BZ698" s="36"/>
      <c r="CY698" s="33"/>
    </row>
    <row r="699" spans="2:103" s="32" customFormat="1" x14ac:dyDescent="0.15">
      <c r="B699" s="33"/>
      <c r="E699" s="35"/>
      <c r="H699" s="33"/>
      <c r="N699" s="114"/>
      <c r="O699" s="34"/>
      <c r="P699" s="33"/>
      <c r="Q699" s="33"/>
      <c r="AA699" s="33"/>
      <c r="AB699" s="33"/>
      <c r="AC699" s="33"/>
      <c r="AD699" s="139"/>
      <c r="AE699" s="33"/>
      <c r="AL699" s="35"/>
      <c r="AV699" s="35"/>
      <c r="AW699" s="35"/>
      <c r="AX699" s="35"/>
      <c r="AY699" s="36"/>
      <c r="BF699" s="35"/>
      <c r="BG699" s="35"/>
      <c r="BO699" s="35"/>
      <c r="BP699" s="35"/>
      <c r="BW699" s="36"/>
      <c r="BX699" s="36"/>
      <c r="BY699" s="36"/>
      <c r="BZ699" s="36"/>
      <c r="CY699" s="33"/>
    </row>
    <row r="700" spans="2:103" s="32" customFormat="1" x14ac:dyDescent="0.15">
      <c r="B700" s="33"/>
      <c r="E700" s="35"/>
      <c r="H700" s="33"/>
      <c r="N700" s="114"/>
      <c r="O700" s="34"/>
      <c r="P700" s="33"/>
      <c r="Q700" s="33"/>
      <c r="AA700" s="33"/>
      <c r="AB700" s="33"/>
      <c r="AC700" s="33"/>
      <c r="AD700" s="139"/>
      <c r="AE700" s="33"/>
      <c r="AL700" s="35"/>
      <c r="AV700" s="35"/>
      <c r="AW700" s="35"/>
      <c r="AX700" s="35"/>
      <c r="AY700" s="36"/>
      <c r="BF700" s="35"/>
      <c r="BG700" s="35"/>
      <c r="BO700" s="35"/>
      <c r="BP700" s="35"/>
      <c r="BW700" s="36"/>
      <c r="BX700" s="36"/>
      <c r="BY700" s="36"/>
      <c r="BZ700" s="36"/>
      <c r="CY700" s="33"/>
    </row>
    <row r="701" spans="2:103" s="32" customFormat="1" x14ac:dyDescent="0.15">
      <c r="B701" s="33"/>
      <c r="E701" s="35"/>
      <c r="H701" s="33"/>
      <c r="N701" s="114"/>
      <c r="O701" s="34"/>
      <c r="P701" s="33"/>
      <c r="Q701" s="33"/>
      <c r="AA701" s="33"/>
      <c r="AB701" s="33"/>
      <c r="AC701" s="33"/>
      <c r="AD701" s="139"/>
      <c r="AE701" s="33"/>
      <c r="AL701" s="35"/>
      <c r="AV701" s="35"/>
      <c r="AW701" s="35"/>
      <c r="AX701" s="35"/>
      <c r="AY701" s="36"/>
      <c r="BF701" s="35"/>
      <c r="BG701" s="35"/>
      <c r="BO701" s="35"/>
      <c r="BP701" s="35"/>
      <c r="BW701" s="36"/>
      <c r="BX701" s="36"/>
      <c r="BY701" s="36"/>
      <c r="BZ701" s="36"/>
      <c r="CY701" s="33"/>
    </row>
    <row r="702" spans="2:103" s="32" customFormat="1" x14ac:dyDescent="0.15">
      <c r="B702" s="33"/>
      <c r="E702" s="35"/>
      <c r="H702" s="33"/>
      <c r="N702" s="114"/>
      <c r="O702" s="34"/>
      <c r="P702" s="33"/>
      <c r="Q702" s="33"/>
      <c r="AA702" s="33"/>
      <c r="AB702" s="33"/>
      <c r="AC702" s="33"/>
      <c r="AD702" s="139"/>
      <c r="AE702" s="33"/>
      <c r="AL702" s="35"/>
      <c r="AV702" s="35"/>
      <c r="AW702" s="35"/>
      <c r="AX702" s="35"/>
      <c r="AY702" s="36"/>
      <c r="BF702" s="35"/>
      <c r="BG702" s="35"/>
      <c r="BO702" s="35"/>
      <c r="BP702" s="35"/>
      <c r="BW702" s="36"/>
      <c r="BX702" s="36"/>
      <c r="BY702" s="36"/>
      <c r="BZ702" s="36"/>
      <c r="CY702" s="33"/>
    </row>
    <row r="703" spans="2:103" s="32" customFormat="1" x14ac:dyDescent="0.15">
      <c r="B703" s="33"/>
      <c r="E703" s="35"/>
      <c r="H703" s="33"/>
      <c r="N703" s="114"/>
      <c r="O703" s="34"/>
      <c r="P703" s="33"/>
      <c r="Q703" s="33"/>
      <c r="AA703" s="33"/>
      <c r="AB703" s="33"/>
      <c r="AC703" s="33"/>
      <c r="AD703" s="139"/>
      <c r="AE703" s="33"/>
      <c r="AL703" s="35"/>
      <c r="AV703" s="35"/>
      <c r="AW703" s="35"/>
      <c r="AX703" s="35"/>
      <c r="AY703" s="36"/>
      <c r="BF703" s="35"/>
      <c r="BG703" s="35"/>
      <c r="BO703" s="35"/>
      <c r="BP703" s="35"/>
      <c r="BW703" s="36"/>
      <c r="BX703" s="36"/>
      <c r="BY703" s="36"/>
      <c r="BZ703" s="36"/>
      <c r="CY703" s="33"/>
    </row>
    <row r="704" spans="2:103" s="32" customFormat="1" x14ac:dyDescent="0.15">
      <c r="B704" s="33"/>
      <c r="E704" s="35"/>
      <c r="H704" s="33"/>
      <c r="N704" s="114"/>
      <c r="O704" s="34"/>
      <c r="P704" s="33"/>
      <c r="Q704" s="33"/>
      <c r="AA704" s="33"/>
      <c r="AB704" s="33"/>
      <c r="AC704" s="33"/>
      <c r="AD704" s="139"/>
      <c r="AE704" s="33"/>
      <c r="AL704" s="35"/>
      <c r="AV704" s="35"/>
      <c r="AW704" s="35"/>
      <c r="AX704" s="35"/>
      <c r="AY704" s="36"/>
      <c r="BF704" s="35"/>
      <c r="BG704" s="35"/>
      <c r="BO704" s="35"/>
      <c r="BP704" s="35"/>
      <c r="BW704" s="36"/>
      <c r="BX704" s="36"/>
      <c r="BY704" s="36"/>
      <c r="BZ704" s="36"/>
      <c r="CY704" s="33"/>
    </row>
    <row r="705" spans="2:103" s="32" customFormat="1" x14ac:dyDescent="0.15">
      <c r="B705" s="33"/>
      <c r="E705" s="35"/>
      <c r="H705" s="33"/>
      <c r="N705" s="114"/>
      <c r="O705" s="34"/>
      <c r="P705" s="33"/>
      <c r="Q705" s="33"/>
      <c r="AA705" s="33"/>
      <c r="AB705" s="33"/>
      <c r="AC705" s="33"/>
      <c r="AD705" s="139"/>
      <c r="AE705" s="33"/>
      <c r="AL705" s="35"/>
      <c r="AV705" s="35"/>
      <c r="AW705" s="35"/>
      <c r="AX705" s="35"/>
      <c r="AY705" s="36"/>
      <c r="BF705" s="35"/>
      <c r="BG705" s="35"/>
      <c r="BO705" s="35"/>
      <c r="BP705" s="35"/>
      <c r="BW705" s="36"/>
      <c r="BX705" s="36"/>
      <c r="BY705" s="36"/>
      <c r="BZ705" s="36"/>
      <c r="CY705" s="33"/>
    </row>
    <row r="706" spans="2:103" s="32" customFormat="1" x14ac:dyDescent="0.15">
      <c r="B706" s="33"/>
      <c r="E706" s="35"/>
      <c r="H706" s="33"/>
      <c r="N706" s="114"/>
      <c r="O706" s="34"/>
      <c r="P706" s="33"/>
      <c r="Q706" s="33"/>
      <c r="AA706" s="33"/>
      <c r="AB706" s="33"/>
      <c r="AC706" s="33"/>
      <c r="AD706" s="139"/>
      <c r="AE706" s="33"/>
      <c r="AL706" s="35"/>
      <c r="AV706" s="35"/>
      <c r="AW706" s="35"/>
      <c r="AX706" s="35"/>
      <c r="AY706" s="36"/>
      <c r="BF706" s="35"/>
      <c r="BG706" s="35"/>
      <c r="BO706" s="35"/>
      <c r="BP706" s="35"/>
      <c r="BW706" s="36"/>
      <c r="BX706" s="36"/>
      <c r="BY706" s="36"/>
      <c r="BZ706" s="36"/>
      <c r="CY706" s="33"/>
    </row>
    <row r="707" spans="2:103" s="32" customFormat="1" x14ac:dyDescent="0.15">
      <c r="B707" s="33"/>
      <c r="E707" s="35"/>
      <c r="H707" s="33"/>
      <c r="N707" s="114"/>
      <c r="O707" s="34"/>
      <c r="P707" s="33"/>
      <c r="Q707" s="33"/>
      <c r="AA707" s="33"/>
      <c r="AB707" s="33"/>
      <c r="AC707" s="33"/>
      <c r="AD707" s="139"/>
      <c r="AE707" s="33"/>
      <c r="AL707" s="35"/>
      <c r="AV707" s="35"/>
      <c r="AW707" s="35"/>
      <c r="AX707" s="35"/>
      <c r="AY707" s="36"/>
      <c r="BF707" s="35"/>
      <c r="BG707" s="35"/>
      <c r="BO707" s="35"/>
      <c r="BP707" s="35"/>
      <c r="BW707" s="36"/>
      <c r="BX707" s="36"/>
      <c r="BY707" s="36"/>
      <c r="BZ707" s="36"/>
      <c r="CY707" s="33"/>
    </row>
    <row r="708" spans="2:103" s="32" customFormat="1" x14ac:dyDescent="0.15">
      <c r="B708" s="33"/>
      <c r="E708" s="35"/>
      <c r="H708" s="33"/>
      <c r="N708" s="114"/>
      <c r="O708" s="34"/>
      <c r="P708" s="33"/>
      <c r="Q708" s="33"/>
      <c r="AA708" s="33"/>
      <c r="AB708" s="33"/>
      <c r="AC708" s="33"/>
      <c r="AD708" s="139"/>
      <c r="AE708" s="33"/>
      <c r="AL708" s="35"/>
      <c r="AV708" s="35"/>
      <c r="AW708" s="35"/>
      <c r="AX708" s="35"/>
      <c r="AY708" s="36"/>
      <c r="BF708" s="35"/>
      <c r="BG708" s="35"/>
      <c r="BO708" s="35"/>
      <c r="BP708" s="35"/>
      <c r="BW708" s="36"/>
      <c r="BX708" s="36"/>
      <c r="BY708" s="36"/>
      <c r="BZ708" s="36"/>
      <c r="CY708" s="33"/>
    </row>
    <row r="709" spans="2:103" s="32" customFormat="1" x14ac:dyDescent="0.15">
      <c r="B709" s="33"/>
      <c r="E709" s="35"/>
      <c r="H709" s="33"/>
      <c r="N709" s="114"/>
      <c r="O709" s="34"/>
      <c r="P709" s="33"/>
      <c r="Q709" s="33"/>
      <c r="AA709" s="33"/>
      <c r="AB709" s="33"/>
      <c r="AC709" s="33"/>
      <c r="AD709" s="139"/>
      <c r="AE709" s="33"/>
      <c r="AL709" s="35"/>
      <c r="AV709" s="35"/>
      <c r="AW709" s="35"/>
      <c r="AX709" s="35"/>
      <c r="AY709" s="36"/>
      <c r="BF709" s="35"/>
      <c r="BG709" s="35"/>
      <c r="BO709" s="35"/>
      <c r="BP709" s="35"/>
      <c r="BW709" s="36"/>
      <c r="BX709" s="36"/>
      <c r="BY709" s="36"/>
      <c r="BZ709" s="36"/>
      <c r="CY709" s="33"/>
    </row>
    <row r="710" spans="2:103" s="32" customFormat="1" x14ac:dyDescent="0.15">
      <c r="B710" s="33"/>
      <c r="E710" s="35"/>
      <c r="H710" s="33"/>
      <c r="N710" s="114"/>
      <c r="O710" s="34"/>
      <c r="P710" s="33"/>
      <c r="Q710" s="33"/>
      <c r="AA710" s="33"/>
      <c r="AB710" s="33"/>
      <c r="AC710" s="33"/>
      <c r="AD710" s="139"/>
      <c r="AE710" s="33"/>
      <c r="AL710" s="35"/>
      <c r="AV710" s="35"/>
      <c r="AW710" s="35"/>
      <c r="AX710" s="35"/>
      <c r="AY710" s="36"/>
      <c r="BF710" s="35"/>
      <c r="BG710" s="35"/>
      <c r="BO710" s="35"/>
      <c r="BP710" s="35"/>
      <c r="BW710" s="36"/>
      <c r="BX710" s="36"/>
      <c r="BY710" s="36"/>
      <c r="BZ710" s="36"/>
      <c r="CY710" s="33"/>
    </row>
    <row r="711" spans="2:103" s="32" customFormat="1" x14ac:dyDescent="0.15">
      <c r="B711" s="33"/>
      <c r="E711" s="35"/>
      <c r="H711" s="33"/>
      <c r="N711" s="114"/>
      <c r="O711" s="34"/>
      <c r="P711" s="33"/>
      <c r="Q711" s="33"/>
      <c r="AA711" s="33"/>
      <c r="AB711" s="33"/>
      <c r="AC711" s="33"/>
      <c r="AD711" s="139"/>
      <c r="AE711" s="33"/>
      <c r="AL711" s="35"/>
      <c r="AV711" s="35"/>
      <c r="AW711" s="35"/>
      <c r="AX711" s="35"/>
      <c r="AY711" s="36"/>
      <c r="BF711" s="35"/>
      <c r="BG711" s="35"/>
      <c r="BO711" s="35"/>
      <c r="BP711" s="35"/>
      <c r="BW711" s="36"/>
      <c r="BX711" s="36"/>
      <c r="BY711" s="36"/>
      <c r="BZ711" s="36"/>
      <c r="CY711" s="33"/>
    </row>
    <row r="712" spans="2:103" s="32" customFormat="1" x14ac:dyDescent="0.15">
      <c r="B712" s="33"/>
      <c r="E712" s="35"/>
      <c r="H712" s="33"/>
      <c r="N712" s="114"/>
      <c r="O712" s="34"/>
      <c r="P712" s="33"/>
      <c r="Q712" s="33"/>
      <c r="AA712" s="33"/>
      <c r="AB712" s="33"/>
      <c r="AC712" s="33"/>
      <c r="AD712" s="139"/>
      <c r="AE712" s="33"/>
      <c r="AL712" s="35"/>
      <c r="AV712" s="35"/>
      <c r="AW712" s="35"/>
      <c r="AX712" s="35"/>
      <c r="AY712" s="36"/>
      <c r="BF712" s="35"/>
      <c r="BG712" s="35"/>
      <c r="BO712" s="35"/>
      <c r="BP712" s="35"/>
      <c r="BW712" s="36"/>
      <c r="BX712" s="36"/>
      <c r="BY712" s="36"/>
      <c r="BZ712" s="36"/>
      <c r="CY712" s="33"/>
    </row>
    <row r="713" spans="2:103" s="32" customFormat="1" x14ac:dyDescent="0.15">
      <c r="B713" s="33"/>
      <c r="E713" s="35"/>
      <c r="H713" s="33"/>
      <c r="N713" s="114"/>
      <c r="O713" s="34"/>
      <c r="P713" s="33"/>
      <c r="Q713" s="33"/>
      <c r="AA713" s="33"/>
      <c r="AB713" s="33"/>
      <c r="AC713" s="33"/>
      <c r="AD713" s="139"/>
      <c r="AE713" s="33"/>
      <c r="AL713" s="35"/>
      <c r="AV713" s="35"/>
      <c r="AW713" s="35"/>
      <c r="AX713" s="35"/>
      <c r="AY713" s="36"/>
      <c r="BF713" s="35"/>
      <c r="BG713" s="35"/>
      <c r="BO713" s="35"/>
      <c r="BP713" s="35"/>
      <c r="BW713" s="36"/>
      <c r="BX713" s="36"/>
      <c r="BY713" s="36"/>
      <c r="BZ713" s="36"/>
      <c r="CY713" s="33"/>
    </row>
    <row r="714" spans="2:103" s="32" customFormat="1" x14ac:dyDescent="0.15">
      <c r="B714" s="33"/>
      <c r="E714" s="35"/>
      <c r="H714" s="33"/>
      <c r="N714" s="114"/>
      <c r="O714" s="34"/>
      <c r="P714" s="33"/>
      <c r="Q714" s="33"/>
      <c r="AA714" s="33"/>
      <c r="AB714" s="33"/>
      <c r="AC714" s="33"/>
      <c r="AD714" s="139"/>
      <c r="AE714" s="33"/>
      <c r="AL714" s="35"/>
      <c r="AV714" s="35"/>
      <c r="AW714" s="35"/>
      <c r="AX714" s="35"/>
      <c r="AY714" s="36"/>
      <c r="BF714" s="35"/>
      <c r="BG714" s="35"/>
      <c r="BO714" s="35"/>
      <c r="BP714" s="35"/>
      <c r="BW714" s="36"/>
      <c r="BX714" s="36"/>
      <c r="BY714" s="36"/>
      <c r="BZ714" s="36"/>
      <c r="CY714" s="33"/>
    </row>
    <row r="715" spans="2:103" s="32" customFormat="1" x14ac:dyDescent="0.15">
      <c r="B715" s="33"/>
      <c r="E715" s="35"/>
      <c r="H715" s="33"/>
      <c r="N715" s="114"/>
      <c r="O715" s="34"/>
      <c r="P715" s="33"/>
      <c r="Q715" s="33"/>
      <c r="AA715" s="33"/>
      <c r="AB715" s="33"/>
      <c r="AC715" s="33"/>
      <c r="AD715" s="139"/>
      <c r="AE715" s="33"/>
      <c r="AL715" s="35"/>
      <c r="AV715" s="35"/>
      <c r="AW715" s="35"/>
      <c r="AX715" s="35"/>
      <c r="AY715" s="36"/>
      <c r="BF715" s="35"/>
      <c r="BG715" s="35"/>
      <c r="BO715" s="35"/>
      <c r="BP715" s="35"/>
      <c r="BW715" s="36"/>
      <c r="BX715" s="36"/>
      <c r="BY715" s="36"/>
      <c r="BZ715" s="36"/>
      <c r="CY715" s="33"/>
    </row>
    <row r="716" spans="2:103" s="32" customFormat="1" x14ac:dyDescent="0.15">
      <c r="B716" s="33"/>
      <c r="E716" s="35"/>
      <c r="H716" s="33"/>
      <c r="N716" s="114"/>
      <c r="O716" s="34"/>
      <c r="P716" s="33"/>
      <c r="Q716" s="33"/>
      <c r="AA716" s="33"/>
      <c r="AB716" s="33"/>
      <c r="AC716" s="33"/>
      <c r="AD716" s="139"/>
      <c r="AE716" s="33"/>
      <c r="AL716" s="35"/>
      <c r="AV716" s="35"/>
      <c r="AW716" s="35"/>
      <c r="AX716" s="35"/>
      <c r="AY716" s="36"/>
      <c r="BF716" s="35"/>
      <c r="BG716" s="35"/>
      <c r="BO716" s="35"/>
      <c r="BP716" s="35"/>
      <c r="BW716" s="36"/>
      <c r="BX716" s="36"/>
      <c r="BY716" s="36"/>
      <c r="BZ716" s="36"/>
      <c r="CY716" s="33"/>
    </row>
    <row r="717" spans="2:103" s="32" customFormat="1" x14ac:dyDescent="0.15">
      <c r="B717" s="33"/>
      <c r="E717" s="35"/>
      <c r="H717" s="33"/>
      <c r="N717" s="114"/>
      <c r="O717" s="34"/>
      <c r="P717" s="33"/>
      <c r="Q717" s="33"/>
      <c r="AA717" s="33"/>
      <c r="AB717" s="33"/>
      <c r="AC717" s="33"/>
      <c r="AD717" s="139"/>
      <c r="AE717" s="33"/>
      <c r="AL717" s="35"/>
      <c r="AV717" s="35"/>
      <c r="AW717" s="35"/>
      <c r="AX717" s="35"/>
      <c r="AY717" s="36"/>
      <c r="BF717" s="35"/>
      <c r="BG717" s="35"/>
      <c r="BO717" s="35"/>
      <c r="BP717" s="35"/>
      <c r="BW717" s="36"/>
      <c r="BX717" s="36"/>
      <c r="BY717" s="36"/>
      <c r="BZ717" s="36"/>
      <c r="CY717" s="33"/>
    </row>
    <row r="718" spans="2:103" s="32" customFormat="1" x14ac:dyDescent="0.15">
      <c r="B718" s="33"/>
      <c r="E718" s="35"/>
      <c r="H718" s="33"/>
      <c r="N718" s="114"/>
      <c r="O718" s="34"/>
      <c r="P718" s="33"/>
      <c r="Q718" s="33"/>
      <c r="AA718" s="33"/>
      <c r="AB718" s="33"/>
      <c r="AC718" s="33"/>
      <c r="AD718" s="139"/>
      <c r="AE718" s="33"/>
      <c r="AL718" s="35"/>
      <c r="AV718" s="35"/>
      <c r="AW718" s="35"/>
      <c r="AX718" s="35"/>
      <c r="AY718" s="36"/>
      <c r="BF718" s="35"/>
      <c r="BG718" s="35"/>
      <c r="BO718" s="35"/>
      <c r="BP718" s="35"/>
      <c r="BW718" s="36"/>
      <c r="BX718" s="36"/>
      <c r="BY718" s="36"/>
      <c r="BZ718" s="36"/>
      <c r="CY718" s="33"/>
    </row>
    <row r="719" spans="2:103" s="32" customFormat="1" x14ac:dyDescent="0.15">
      <c r="B719" s="33"/>
      <c r="E719" s="35"/>
      <c r="H719" s="33"/>
      <c r="N719" s="114"/>
      <c r="O719" s="34"/>
      <c r="P719" s="33"/>
      <c r="Q719" s="33"/>
      <c r="AA719" s="33"/>
      <c r="AB719" s="33"/>
      <c r="AC719" s="33"/>
      <c r="AD719" s="139"/>
      <c r="AE719" s="33"/>
      <c r="AL719" s="35"/>
      <c r="AV719" s="35"/>
      <c r="AW719" s="35"/>
      <c r="AX719" s="35"/>
      <c r="AY719" s="36"/>
      <c r="BF719" s="35"/>
      <c r="BG719" s="35"/>
      <c r="BO719" s="35"/>
      <c r="BP719" s="35"/>
      <c r="BW719" s="36"/>
      <c r="BX719" s="36"/>
      <c r="BY719" s="36"/>
      <c r="BZ719" s="36"/>
      <c r="CY719" s="33"/>
    </row>
    <row r="720" spans="2:103" s="32" customFormat="1" x14ac:dyDescent="0.15">
      <c r="B720" s="33"/>
      <c r="E720" s="35"/>
      <c r="H720" s="33"/>
      <c r="N720" s="114"/>
      <c r="O720" s="34"/>
      <c r="P720" s="33"/>
      <c r="Q720" s="33"/>
      <c r="AA720" s="33"/>
      <c r="AB720" s="33"/>
      <c r="AC720" s="33"/>
      <c r="AD720" s="139"/>
      <c r="AE720" s="33"/>
      <c r="AL720" s="35"/>
      <c r="AV720" s="35"/>
      <c r="AW720" s="35"/>
      <c r="AX720" s="35"/>
      <c r="AY720" s="36"/>
      <c r="BF720" s="35"/>
      <c r="BG720" s="35"/>
      <c r="BO720" s="35"/>
      <c r="BP720" s="35"/>
      <c r="BW720" s="36"/>
      <c r="BX720" s="36"/>
      <c r="BY720" s="36"/>
      <c r="BZ720" s="36"/>
      <c r="CY720" s="33"/>
    </row>
    <row r="721" spans="2:103" s="32" customFormat="1" x14ac:dyDescent="0.15">
      <c r="B721" s="33"/>
      <c r="E721" s="35"/>
      <c r="H721" s="33"/>
      <c r="N721" s="114"/>
      <c r="O721" s="34"/>
      <c r="P721" s="33"/>
      <c r="Q721" s="33"/>
      <c r="AA721" s="33"/>
      <c r="AB721" s="33"/>
      <c r="AC721" s="33"/>
      <c r="AD721" s="139"/>
      <c r="AE721" s="33"/>
      <c r="AL721" s="35"/>
      <c r="AV721" s="35"/>
      <c r="AW721" s="35"/>
      <c r="AX721" s="35"/>
      <c r="AY721" s="36"/>
      <c r="BF721" s="35"/>
      <c r="BG721" s="35"/>
      <c r="BO721" s="35"/>
      <c r="BP721" s="35"/>
      <c r="BW721" s="36"/>
      <c r="BX721" s="36"/>
      <c r="BY721" s="36"/>
      <c r="BZ721" s="36"/>
      <c r="CY721" s="33"/>
    </row>
    <row r="722" spans="2:103" s="32" customFormat="1" x14ac:dyDescent="0.15">
      <c r="B722" s="33"/>
      <c r="E722" s="35"/>
      <c r="H722" s="33"/>
      <c r="N722" s="114"/>
      <c r="O722" s="34"/>
      <c r="P722" s="33"/>
      <c r="Q722" s="33"/>
      <c r="AA722" s="33"/>
      <c r="AB722" s="33"/>
      <c r="AC722" s="33"/>
      <c r="AD722" s="139"/>
      <c r="AE722" s="33"/>
      <c r="AL722" s="35"/>
      <c r="AV722" s="35"/>
      <c r="AW722" s="35"/>
      <c r="AX722" s="35"/>
      <c r="AY722" s="36"/>
      <c r="BF722" s="35"/>
      <c r="BG722" s="35"/>
      <c r="BO722" s="35"/>
      <c r="BP722" s="35"/>
      <c r="BW722" s="36"/>
      <c r="BX722" s="36"/>
      <c r="BY722" s="36"/>
      <c r="BZ722" s="36"/>
      <c r="CY722" s="33"/>
    </row>
    <row r="723" spans="2:103" s="32" customFormat="1" x14ac:dyDescent="0.15">
      <c r="B723" s="33"/>
      <c r="E723" s="35"/>
      <c r="H723" s="33"/>
      <c r="N723" s="114"/>
      <c r="O723" s="34"/>
      <c r="P723" s="33"/>
      <c r="Q723" s="33"/>
      <c r="AA723" s="33"/>
      <c r="AB723" s="33"/>
      <c r="AC723" s="33"/>
      <c r="AD723" s="139"/>
      <c r="AE723" s="33"/>
      <c r="AL723" s="35"/>
      <c r="AV723" s="35"/>
      <c r="AW723" s="35"/>
      <c r="AX723" s="35"/>
      <c r="AY723" s="36"/>
      <c r="BF723" s="35"/>
      <c r="BG723" s="35"/>
      <c r="BO723" s="35"/>
      <c r="BP723" s="35"/>
      <c r="BW723" s="36"/>
      <c r="BX723" s="36"/>
      <c r="BY723" s="36"/>
      <c r="BZ723" s="36"/>
      <c r="CY723" s="33"/>
    </row>
    <row r="724" spans="2:103" s="32" customFormat="1" x14ac:dyDescent="0.15">
      <c r="B724" s="33"/>
      <c r="E724" s="35"/>
      <c r="H724" s="33"/>
      <c r="N724" s="114"/>
      <c r="O724" s="34"/>
      <c r="P724" s="33"/>
      <c r="Q724" s="33"/>
      <c r="AA724" s="33"/>
      <c r="AB724" s="33"/>
      <c r="AC724" s="33"/>
      <c r="AD724" s="139"/>
      <c r="AE724" s="33"/>
      <c r="AL724" s="35"/>
      <c r="AV724" s="35"/>
      <c r="AW724" s="35"/>
      <c r="AX724" s="35"/>
      <c r="AY724" s="36"/>
      <c r="BF724" s="35"/>
      <c r="BG724" s="35"/>
      <c r="BO724" s="35"/>
      <c r="BP724" s="35"/>
      <c r="BW724" s="36"/>
      <c r="BX724" s="36"/>
      <c r="BY724" s="36"/>
      <c r="BZ724" s="36"/>
      <c r="CY724" s="33"/>
    </row>
    <row r="725" spans="2:103" s="32" customFormat="1" x14ac:dyDescent="0.15">
      <c r="B725" s="33"/>
      <c r="E725" s="35"/>
      <c r="H725" s="33"/>
      <c r="N725" s="114"/>
      <c r="O725" s="34"/>
      <c r="P725" s="33"/>
      <c r="Q725" s="33"/>
      <c r="AA725" s="33"/>
      <c r="AB725" s="33"/>
      <c r="AC725" s="33"/>
      <c r="AD725" s="139"/>
      <c r="AE725" s="33"/>
      <c r="AL725" s="35"/>
      <c r="AV725" s="35"/>
      <c r="AW725" s="35"/>
      <c r="AX725" s="35"/>
      <c r="AY725" s="36"/>
      <c r="BF725" s="35"/>
      <c r="BG725" s="35"/>
      <c r="BO725" s="35"/>
      <c r="BP725" s="35"/>
      <c r="BW725" s="36"/>
      <c r="BX725" s="36"/>
      <c r="BY725" s="36"/>
      <c r="BZ725" s="36"/>
      <c r="CY725" s="33"/>
    </row>
    <row r="726" spans="2:103" s="32" customFormat="1" x14ac:dyDescent="0.15">
      <c r="B726" s="33"/>
      <c r="E726" s="35"/>
      <c r="H726" s="33"/>
      <c r="N726" s="114"/>
      <c r="O726" s="34"/>
      <c r="P726" s="33"/>
      <c r="Q726" s="33"/>
      <c r="AA726" s="33"/>
      <c r="AB726" s="33"/>
      <c r="AC726" s="33"/>
      <c r="AD726" s="139"/>
      <c r="AE726" s="33"/>
      <c r="AL726" s="35"/>
      <c r="AV726" s="35"/>
      <c r="AW726" s="35"/>
      <c r="AX726" s="35"/>
      <c r="AY726" s="36"/>
      <c r="BF726" s="35"/>
      <c r="BG726" s="35"/>
      <c r="BO726" s="35"/>
      <c r="BP726" s="35"/>
      <c r="BW726" s="36"/>
      <c r="BX726" s="36"/>
      <c r="BY726" s="36"/>
      <c r="BZ726" s="36"/>
      <c r="CY726" s="33"/>
    </row>
    <row r="727" spans="2:103" s="32" customFormat="1" x14ac:dyDescent="0.15">
      <c r="B727" s="33"/>
      <c r="E727" s="35"/>
      <c r="H727" s="33"/>
      <c r="N727" s="114"/>
      <c r="O727" s="34"/>
      <c r="P727" s="33"/>
      <c r="Q727" s="33"/>
      <c r="AA727" s="33"/>
      <c r="AB727" s="33"/>
      <c r="AC727" s="33"/>
      <c r="AD727" s="139"/>
      <c r="AE727" s="33"/>
      <c r="AL727" s="35"/>
      <c r="AV727" s="35"/>
      <c r="AW727" s="35"/>
      <c r="AX727" s="35"/>
      <c r="AY727" s="36"/>
      <c r="BF727" s="35"/>
      <c r="BG727" s="35"/>
      <c r="BO727" s="35"/>
      <c r="BP727" s="35"/>
      <c r="BW727" s="36"/>
      <c r="BX727" s="36"/>
      <c r="BY727" s="36"/>
      <c r="BZ727" s="36"/>
      <c r="CY727" s="33"/>
    </row>
    <row r="728" spans="2:103" s="32" customFormat="1" x14ac:dyDescent="0.15">
      <c r="B728" s="33"/>
      <c r="E728" s="35"/>
      <c r="H728" s="33"/>
      <c r="N728" s="114"/>
      <c r="O728" s="34"/>
      <c r="P728" s="33"/>
      <c r="Q728" s="33"/>
      <c r="AA728" s="33"/>
      <c r="AB728" s="33"/>
      <c r="AC728" s="33"/>
      <c r="AD728" s="139"/>
      <c r="AE728" s="33"/>
      <c r="AL728" s="35"/>
      <c r="AV728" s="35"/>
      <c r="AW728" s="35"/>
      <c r="AX728" s="35"/>
      <c r="AY728" s="36"/>
      <c r="BF728" s="35"/>
      <c r="BG728" s="35"/>
      <c r="BO728" s="35"/>
      <c r="BP728" s="35"/>
      <c r="BW728" s="36"/>
      <c r="BX728" s="36"/>
      <c r="BY728" s="36"/>
      <c r="BZ728" s="36"/>
      <c r="CY728" s="33"/>
    </row>
    <row r="729" spans="2:103" s="32" customFormat="1" x14ac:dyDescent="0.15">
      <c r="B729" s="33"/>
      <c r="E729" s="35"/>
      <c r="H729" s="33"/>
      <c r="N729" s="114"/>
      <c r="O729" s="34"/>
      <c r="P729" s="33"/>
      <c r="Q729" s="33"/>
      <c r="AA729" s="33"/>
      <c r="AB729" s="33"/>
      <c r="AC729" s="33"/>
      <c r="AD729" s="139"/>
      <c r="AE729" s="33"/>
      <c r="AL729" s="35"/>
      <c r="AV729" s="35"/>
      <c r="AW729" s="35"/>
      <c r="AX729" s="35"/>
      <c r="AY729" s="36"/>
      <c r="BF729" s="35"/>
      <c r="BG729" s="35"/>
      <c r="BO729" s="35"/>
      <c r="BP729" s="35"/>
      <c r="BW729" s="36"/>
      <c r="BX729" s="36"/>
      <c r="BY729" s="36"/>
      <c r="BZ729" s="36"/>
      <c r="CY729" s="33"/>
    </row>
    <row r="730" spans="2:103" s="32" customFormat="1" x14ac:dyDescent="0.15">
      <c r="B730" s="33"/>
      <c r="E730" s="35"/>
      <c r="H730" s="33"/>
      <c r="N730" s="114"/>
      <c r="O730" s="34"/>
      <c r="P730" s="33"/>
      <c r="Q730" s="33"/>
      <c r="AA730" s="33"/>
      <c r="AB730" s="33"/>
      <c r="AC730" s="33"/>
      <c r="AD730" s="139"/>
      <c r="AE730" s="33"/>
      <c r="AL730" s="35"/>
      <c r="AV730" s="35"/>
      <c r="AW730" s="35"/>
      <c r="AX730" s="35"/>
      <c r="AY730" s="36"/>
      <c r="BF730" s="35"/>
      <c r="BG730" s="35"/>
      <c r="BO730" s="35"/>
      <c r="BP730" s="35"/>
      <c r="BW730" s="36"/>
      <c r="BX730" s="36"/>
      <c r="BY730" s="36"/>
      <c r="BZ730" s="36"/>
      <c r="CY730" s="33"/>
    </row>
    <row r="731" spans="2:103" s="32" customFormat="1" x14ac:dyDescent="0.15">
      <c r="B731" s="33"/>
      <c r="E731" s="35"/>
      <c r="H731" s="33"/>
      <c r="N731" s="114"/>
      <c r="O731" s="34"/>
      <c r="P731" s="33"/>
      <c r="Q731" s="33"/>
      <c r="AA731" s="33"/>
      <c r="AB731" s="33"/>
      <c r="AC731" s="33"/>
      <c r="AD731" s="139"/>
      <c r="AE731" s="33"/>
      <c r="AL731" s="35"/>
      <c r="AV731" s="35"/>
      <c r="AW731" s="35"/>
      <c r="AX731" s="35"/>
      <c r="AY731" s="36"/>
      <c r="BF731" s="35"/>
      <c r="BG731" s="35"/>
      <c r="BO731" s="35"/>
      <c r="BP731" s="35"/>
      <c r="BW731" s="36"/>
      <c r="BX731" s="36"/>
      <c r="BY731" s="36"/>
      <c r="BZ731" s="36"/>
      <c r="CY731" s="33"/>
    </row>
    <row r="732" spans="2:103" s="32" customFormat="1" x14ac:dyDescent="0.15">
      <c r="B732" s="33"/>
      <c r="E732" s="35"/>
      <c r="H732" s="33"/>
      <c r="N732" s="114"/>
      <c r="O732" s="34"/>
      <c r="P732" s="33"/>
      <c r="Q732" s="33"/>
      <c r="AA732" s="33"/>
      <c r="AB732" s="33"/>
      <c r="AC732" s="33"/>
      <c r="AD732" s="139"/>
      <c r="AE732" s="33"/>
      <c r="AL732" s="35"/>
      <c r="AV732" s="35"/>
      <c r="AW732" s="35"/>
      <c r="AX732" s="35"/>
      <c r="AY732" s="36"/>
      <c r="BF732" s="35"/>
      <c r="BG732" s="35"/>
      <c r="BO732" s="35"/>
      <c r="BP732" s="35"/>
      <c r="BW732" s="36"/>
      <c r="BX732" s="36"/>
      <c r="BY732" s="36"/>
      <c r="BZ732" s="36"/>
      <c r="CY732" s="33"/>
    </row>
    <row r="733" spans="2:103" s="32" customFormat="1" x14ac:dyDescent="0.15">
      <c r="B733" s="33"/>
      <c r="E733" s="35"/>
      <c r="H733" s="33"/>
      <c r="N733" s="114"/>
      <c r="O733" s="34"/>
      <c r="P733" s="33"/>
      <c r="Q733" s="33"/>
      <c r="AA733" s="33"/>
      <c r="AB733" s="33"/>
      <c r="AC733" s="33"/>
      <c r="AD733" s="139"/>
      <c r="AE733" s="33"/>
      <c r="AL733" s="35"/>
      <c r="AV733" s="35"/>
      <c r="AW733" s="35"/>
      <c r="AX733" s="35"/>
      <c r="AY733" s="36"/>
      <c r="BF733" s="35"/>
      <c r="BG733" s="35"/>
      <c r="BO733" s="35"/>
      <c r="BP733" s="35"/>
      <c r="BW733" s="36"/>
      <c r="BX733" s="36"/>
      <c r="BY733" s="36"/>
      <c r="BZ733" s="36"/>
      <c r="CY733" s="33"/>
    </row>
    <row r="734" spans="2:103" s="32" customFormat="1" x14ac:dyDescent="0.15">
      <c r="B734" s="33"/>
      <c r="E734" s="35"/>
      <c r="H734" s="33"/>
      <c r="N734" s="114"/>
      <c r="O734" s="34"/>
      <c r="P734" s="33"/>
      <c r="Q734" s="33"/>
      <c r="AA734" s="33"/>
      <c r="AB734" s="33"/>
      <c r="AC734" s="33"/>
      <c r="AD734" s="139"/>
      <c r="AE734" s="33"/>
      <c r="AL734" s="35"/>
      <c r="AV734" s="35"/>
      <c r="AW734" s="35"/>
      <c r="AX734" s="35"/>
      <c r="AY734" s="36"/>
      <c r="BF734" s="35"/>
      <c r="BG734" s="35"/>
      <c r="BO734" s="35"/>
      <c r="BP734" s="35"/>
      <c r="BW734" s="36"/>
      <c r="BX734" s="36"/>
      <c r="BY734" s="36"/>
      <c r="BZ734" s="36"/>
      <c r="CY734" s="33"/>
    </row>
    <row r="735" spans="2:103" s="32" customFormat="1" x14ac:dyDescent="0.15">
      <c r="B735" s="33"/>
      <c r="E735" s="35"/>
      <c r="H735" s="33"/>
      <c r="N735" s="114"/>
      <c r="O735" s="34"/>
      <c r="P735" s="33"/>
      <c r="Q735" s="33"/>
      <c r="AA735" s="33"/>
      <c r="AB735" s="33"/>
      <c r="AC735" s="33"/>
      <c r="AD735" s="139"/>
      <c r="AE735" s="33"/>
      <c r="AL735" s="35"/>
      <c r="AV735" s="35"/>
      <c r="AW735" s="35"/>
      <c r="AX735" s="35"/>
      <c r="AY735" s="36"/>
      <c r="BF735" s="35"/>
      <c r="BG735" s="35"/>
      <c r="BO735" s="35"/>
      <c r="BP735" s="35"/>
      <c r="BW735" s="36"/>
      <c r="BX735" s="36"/>
      <c r="BY735" s="36"/>
      <c r="BZ735" s="36"/>
      <c r="CY735" s="33"/>
    </row>
    <row r="736" spans="2:103" s="32" customFormat="1" x14ac:dyDescent="0.15">
      <c r="B736" s="33"/>
      <c r="E736" s="35"/>
      <c r="H736" s="33"/>
      <c r="N736" s="114"/>
      <c r="O736" s="34"/>
      <c r="P736" s="33"/>
      <c r="Q736" s="33"/>
      <c r="AA736" s="33"/>
      <c r="AB736" s="33"/>
      <c r="AC736" s="33"/>
      <c r="AD736" s="139"/>
      <c r="AE736" s="33"/>
      <c r="AL736" s="35"/>
      <c r="AV736" s="35"/>
      <c r="AW736" s="35"/>
      <c r="AX736" s="35"/>
      <c r="AY736" s="36"/>
      <c r="BF736" s="35"/>
      <c r="BG736" s="35"/>
      <c r="BO736" s="35"/>
      <c r="BP736" s="35"/>
      <c r="BW736" s="36"/>
      <c r="BX736" s="36"/>
      <c r="BY736" s="36"/>
      <c r="BZ736" s="36"/>
      <c r="CY736" s="33"/>
    </row>
    <row r="737" spans="2:103" s="32" customFormat="1" x14ac:dyDescent="0.15">
      <c r="B737" s="33"/>
      <c r="E737" s="35"/>
      <c r="H737" s="33"/>
      <c r="N737" s="114"/>
      <c r="O737" s="34"/>
      <c r="P737" s="33"/>
      <c r="Q737" s="33"/>
      <c r="AA737" s="33"/>
      <c r="AB737" s="33"/>
      <c r="AC737" s="33"/>
      <c r="AD737" s="139"/>
      <c r="AE737" s="33"/>
      <c r="AL737" s="35"/>
      <c r="AV737" s="35"/>
      <c r="AW737" s="35"/>
      <c r="AX737" s="35"/>
      <c r="AY737" s="36"/>
      <c r="BF737" s="35"/>
      <c r="BG737" s="35"/>
      <c r="BO737" s="35"/>
      <c r="BP737" s="35"/>
      <c r="BW737" s="36"/>
      <c r="BX737" s="36"/>
      <c r="BY737" s="36"/>
      <c r="BZ737" s="36"/>
      <c r="CY737" s="33"/>
    </row>
    <row r="738" spans="2:103" s="32" customFormat="1" x14ac:dyDescent="0.15">
      <c r="B738" s="33"/>
      <c r="E738" s="35"/>
      <c r="H738" s="33"/>
      <c r="N738" s="114"/>
      <c r="O738" s="34"/>
      <c r="P738" s="33"/>
      <c r="Q738" s="33"/>
      <c r="AA738" s="33"/>
      <c r="AB738" s="33"/>
      <c r="AC738" s="33"/>
      <c r="AD738" s="139"/>
      <c r="AE738" s="33"/>
      <c r="AL738" s="35"/>
      <c r="AV738" s="35"/>
      <c r="AW738" s="35"/>
      <c r="AX738" s="35"/>
      <c r="AY738" s="36"/>
      <c r="BF738" s="35"/>
      <c r="BG738" s="35"/>
      <c r="BO738" s="35"/>
      <c r="BP738" s="35"/>
      <c r="BW738" s="36"/>
      <c r="BX738" s="36"/>
      <c r="BY738" s="36"/>
      <c r="BZ738" s="36"/>
      <c r="CY738" s="33"/>
    </row>
    <row r="739" spans="2:103" s="32" customFormat="1" x14ac:dyDescent="0.15">
      <c r="B739" s="33"/>
      <c r="E739" s="35"/>
      <c r="H739" s="33"/>
      <c r="N739" s="114"/>
      <c r="O739" s="34"/>
      <c r="P739" s="33"/>
      <c r="Q739" s="33"/>
      <c r="AA739" s="33"/>
      <c r="AB739" s="33"/>
      <c r="AC739" s="33"/>
      <c r="AD739" s="139"/>
      <c r="AE739" s="33"/>
      <c r="AL739" s="35"/>
      <c r="AV739" s="35"/>
      <c r="AW739" s="35"/>
      <c r="AX739" s="35"/>
      <c r="AY739" s="36"/>
      <c r="BF739" s="35"/>
      <c r="BG739" s="35"/>
      <c r="BO739" s="35"/>
      <c r="BP739" s="35"/>
      <c r="BW739" s="36"/>
      <c r="BX739" s="36"/>
      <c r="BY739" s="36"/>
      <c r="BZ739" s="36"/>
      <c r="CY739" s="33"/>
    </row>
    <row r="740" spans="2:103" s="32" customFormat="1" x14ac:dyDescent="0.15">
      <c r="B740" s="33"/>
      <c r="E740" s="35"/>
      <c r="H740" s="33"/>
      <c r="N740" s="114"/>
      <c r="O740" s="34"/>
      <c r="P740" s="33"/>
      <c r="Q740" s="33"/>
      <c r="AA740" s="33"/>
      <c r="AB740" s="33"/>
      <c r="AC740" s="33"/>
      <c r="AD740" s="139"/>
      <c r="AE740" s="33"/>
      <c r="AL740" s="35"/>
      <c r="AV740" s="35"/>
      <c r="AW740" s="35"/>
      <c r="AX740" s="35"/>
      <c r="AY740" s="36"/>
      <c r="BF740" s="35"/>
      <c r="BG740" s="35"/>
      <c r="BO740" s="35"/>
      <c r="BP740" s="35"/>
      <c r="BW740" s="36"/>
      <c r="BX740" s="36"/>
      <c r="BY740" s="36"/>
      <c r="BZ740" s="36"/>
      <c r="CY740" s="33"/>
    </row>
    <row r="741" spans="2:103" s="32" customFormat="1" x14ac:dyDescent="0.15">
      <c r="B741" s="33"/>
      <c r="E741" s="35"/>
      <c r="H741" s="33"/>
      <c r="N741" s="114"/>
      <c r="O741" s="34"/>
      <c r="P741" s="33"/>
      <c r="Q741" s="33"/>
      <c r="AA741" s="33"/>
      <c r="AB741" s="33"/>
      <c r="AC741" s="33"/>
      <c r="AD741" s="139"/>
      <c r="AE741" s="33"/>
      <c r="AL741" s="35"/>
      <c r="AV741" s="35"/>
      <c r="AW741" s="35"/>
      <c r="AX741" s="35"/>
      <c r="AY741" s="36"/>
      <c r="BF741" s="35"/>
      <c r="BG741" s="35"/>
      <c r="BO741" s="35"/>
      <c r="BP741" s="35"/>
      <c r="BW741" s="36"/>
      <c r="BX741" s="36"/>
      <c r="BY741" s="36"/>
      <c r="BZ741" s="36"/>
      <c r="CY741" s="33"/>
    </row>
    <row r="742" spans="2:103" s="32" customFormat="1" x14ac:dyDescent="0.15">
      <c r="B742" s="33"/>
      <c r="E742" s="35"/>
      <c r="H742" s="33"/>
      <c r="N742" s="114"/>
      <c r="O742" s="34"/>
      <c r="P742" s="33"/>
      <c r="Q742" s="33"/>
      <c r="AA742" s="33"/>
      <c r="AB742" s="33"/>
      <c r="AC742" s="33"/>
      <c r="AD742" s="139"/>
      <c r="AE742" s="33"/>
      <c r="AL742" s="35"/>
      <c r="AV742" s="35"/>
      <c r="AW742" s="35"/>
      <c r="AX742" s="35"/>
      <c r="AY742" s="36"/>
      <c r="BF742" s="35"/>
      <c r="BG742" s="35"/>
      <c r="BO742" s="35"/>
      <c r="BP742" s="35"/>
      <c r="BW742" s="36"/>
      <c r="BX742" s="36"/>
      <c r="BY742" s="36"/>
      <c r="BZ742" s="36"/>
      <c r="CY742" s="33"/>
    </row>
    <row r="743" spans="2:103" s="32" customFormat="1" x14ac:dyDescent="0.15">
      <c r="B743" s="33"/>
      <c r="E743" s="35"/>
      <c r="H743" s="33"/>
      <c r="N743" s="114"/>
      <c r="O743" s="34"/>
      <c r="P743" s="33"/>
      <c r="Q743" s="33"/>
      <c r="AA743" s="33"/>
      <c r="AB743" s="33"/>
      <c r="AC743" s="33"/>
      <c r="AD743" s="139"/>
      <c r="AE743" s="33"/>
      <c r="AL743" s="35"/>
      <c r="AV743" s="35"/>
      <c r="AW743" s="35"/>
      <c r="AX743" s="35"/>
      <c r="AY743" s="36"/>
      <c r="BF743" s="35"/>
      <c r="BG743" s="35"/>
      <c r="BO743" s="35"/>
      <c r="BP743" s="35"/>
      <c r="BW743" s="36"/>
      <c r="BX743" s="36"/>
      <c r="BY743" s="36"/>
      <c r="BZ743" s="36"/>
      <c r="CY743" s="33"/>
    </row>
    <row r="744" spans="2:103" s="32" customFormat="1" x14ac:dyDescent="0.15">
      <c r="B744" s="33"/>
      <c r="E744" s="35"/>
      <c r="H744" s="33"/>
      <c r="N744" s="114"/>
      <c r="O744" s="34"/>
      <c r="P744" s="33"/>
      <c r="Q744" s="33"/>
      <c r="AA744" s="33"/>
      <c r="AB744" s="33"/>
      <c r="AC744" s="33"/>
      <c r="AD744" s="139"/>
      <c r="AE744" s="33"/>
      <c r="AL744" s="35"/>
      <c r="AV744" s="35"/>
      <c r="AW744" s="35"/>
      <c r="AX744" s="35"/>
      <c r="AY744" s="36"/>
      <c r="BF744" s="35"/>
      <c r="BG744" s="35"/>
      <c r="BO744" s="35"/>
      <c r="BP744" s="35"/>
      <c r="BW744" s="36"/>
      <c r="BX744" s="36"/>
      <c r="BY744" s="36"/>
      <c r="BZ744" s="36"/>
      <c r="CY744" s="33"/>
    </row>
    <row r="745" spans="2:103" s="32" customFormat="1" x14ac:dyDescent="0.15">
      <c r="B745" s="33"/>
      <c r="E745" s="35"/>
      <c r="H745" s="33"/>
      <c r="N745" s="114"/>
      <c r="O745" s="34"/>
      <c r="P745" s="33"/>
      <c r="Q745" s="33"/>
      <c r="AA745" s="33"/>
      <c r="AB745" s="33"/>
      <c r="AC745" s="33"/>
      <c r="AD745" s="139"/>
      <c r="AE745" s="33"/>
      <c r="AL745" s="35"/>
      <c r="AV745" s="35"/>
      <c r="AW745" s="35"/>
      <c r="AX745" s="35"/>
      <c r="AY745" s="36"/>
      <c r="BF745" s="35"/>
      <c r="BG745" s="35"/>
      <c r="BO745" s="35"/>
      <c r="BP745" s="35"/>
      <c r="BW745" s="36"/>
      <c r="BX745" s="36"/>
      <c r="BY745" s="36"/>
      <c r="BZ745" s="36"/>
      <c r="CY745" s="33"/>
    </row>
    <row r="746" spans="2:103" s="32" customFormat="1" x14ac:dyDescent="0.15">
      <c r="B746" s="33"/>
      <c r="E746" s="35"/>
      <c r="H746" s="33"/>
      <c r="N746" s="114"/>
      <c r="O746" s="34"/>
      <c r="P746" s="33"/>
      <c r="Q746" s="33"/>
      <c r="AA746" s="33"/>
      <c r="AB746" s="33"/>
      <c r="AC746" s="33"/>
      <c r="AD746" s="139"/>
      <c r="AE746" s="33"/>
      <c r="AL746" s="35"/>
      <c r="AV746" s="35"/>
      <c r="AW746" s="35"/>
      <c r="AX746" s="35"/>
      <c r="AY746" s="36"/>
      <c r="BF746" s="35"/>
      <c r="BG746" s="35"/>
      <c r="BO746" s="35"/>
      <c r="BP746" s="35"/>
      <c r="BW746" s="36"/>
      <c r="BX746" s="36"/>
      <c r="BY746" s="36"/>
      <c r="BZ746" s="36"/>
      <c r="CY746" s="33"/>
    </row>
    <row r="747" spans="2:103" s="32" customFormat="1" x14ac:dyDescent="0.15">
      <c r="B747" s="33"/>
      <c r="E747" s="35"/>
      <c r="H747" s="33"/>
      <c r="N747" s="114"/>
      <c r="O747" s="34"/>
      <c r="P747" s="33"/>
      <c r="Q747" s="33"/>
      <c r="AA747" s="33"/>
      <c r="AB747" s="33"/>
      <c r="AC747" s="33"/>
      <c r="AD747" s="139"/>
      <c r="AE747" s="33"/>
      <c r="AL747" s="35"/>
      <c r="AV747" s="35"/>
      <c r="AW747" s="35"/>
      <c r="AX747" s="35"/>
      <c r="AY747" s="36"/>
      <c r="BF747" s="35"/>
      <c r="BG747" s="35"/>
      <c r="BO747" s="35"/>
      <c r="BP747" s="35"/>
      <c r="BW747" s="36"/>
      <c r="BX747" s="36"/>
      <c r="BY747" s="36"/>
      <c r="BZ747" s="36"/>
      <c r="CY747" s="33"/>
    </row>
    <row r="748" spans="2:103" s="32" customFormat="1" x14ac:dyDescent="0.15">
      <c r="B748" s="33"/>
      <c r="E748" s="35"/>
      <c r="H748" s="33"/>
      <c r="N748" s="114"/>
      <c r="O748" s="34"/>
      <c r="P748" s="33"/>
      <c r="Q748" s="33"/>
      <c r="AA748" s="33"/>
      <c r="AB748" s="33"/>
      <c r="AC748" s="33"/>
      <c r="AD748" s="139"/>
      <c r="AE748" s="33"/>
      <c r="AL748" s="35"/>
      <c r="AV748" s="35"/>
      <c r="AW748" s="35"/>
      <c r="AX748" s="35"/>
      <c r="AY748" s="36"/>
      <c r="BF748" s="35"/>
      <c r="BG748" s="35"/>
      <c r="BO748" s="35"/>
      <c r="BP748" s="35"/>
      <c r="BW748" s="36"/>
      <c r="BX748" s="36"/>
      <c r="BY748" s="36"/>
      <c r="BZ748" s="36"/>
      <c r="CY748" s="33"/>
    </row>
    <row r="749" spans="2:103" s="32" customFormat="1" x14ac:dyDescent="0.15">
      <c r="B749" s="33"/>
      <c r="E749" s="35"/>
      <c r="H749" s="33"/>
      <c r="N749" s="114"/>
      <c r="O749" s="34"/>
      <c r="P749" s="33"/>
      <c r="Q749" s="33"/>
      <c r="AA749" s="33"/>
      <c r="AB749" s="33"/>
      <c r="AC749" s="33"/>
      <c r="AD749" s="139"/>
      <c r="AE749" s="33"/>
      <c r="AL749" s="35"/>
      <c r="AV749" s="35"/>
      <c r="AW749" s="35"/>
      <c r="AX749" s="35"/>
      <c r="AY749" s="36"/>
      <c r="BF749" s="35"/>
      <c r="BG749" s="35"/>
      <c r="BO749" s="35"/>
      <c r="BP749" s="35"/>
      <c r="BW749" s="36"/>
      <c r="BX749" s="36"/>
      <c r="BY749" s="36"/>
      <c r="BZ749" s="36"/>
      <c r="CY749" s="33"/>
    </row>
    <row r="750" spans="2:103" s="32" customFormat="1" x14ac:dyDescent="0.15">
      <c r="B750" s="33"/>
      <c r="E750" s="35"/>
      <c r="H750" s="33"/>
      <c r="N750" s="114"/>
      <c r="O750" s="34"/>
      <c r="P750" s="33"/>
      <c r="Q750" s="33"/>
      <c r="AA750" s="33"/>
      <c r="AB750" s="33"/>
      <c r="AC750" s="33"/>
      <c r="AD750" s="139"/>
      <c r="AE750" s="33"/>
      <c r="AL750" s="35"/>
      <c r="AV750" s="35"/>
      <c r="AW750" s="35"/>
      <c r="AX750" s="35"/>
      <c r="AY750" s="36"/>
      <c r="BF750" s="35"/>
      <c r="BG750" s="35"/>
      <c r="BO750" s="35"/>
      <c r="BP750" s="35"/>
      <c r="BW750" s="36"/>
      <c r="BX750" s="36"/>
      <c r="BY750" s="36"/>
      <c r="BZ750" s="36"/>
      <c r="CY750" s="33"/>
    </row>
    <row r="751" spans="2:103" s="32" customFormat="1" x14ac:dyDescent="0.15">
      <c r="B751" s="33"/>
      <c r="E751" s="35"/>
      <c r="H751" s="33"/>
      <c r="N751" s="114"/>
      <c r="O751" s="34"/>
      <c r="P751" s="33"/>
      <c r="Q751" s="33"/>
      <c r="AA751" s="33"/>
      <c r="AB751" s="33"/>
      <c r="AC751" s="33"/>
      <c r="AD751" s="139"/>
      <c r="AE751" s="33"/>
      <c r="AL751" s="35"/>
      <c r="AV751" s="35"/>
      <c r="AW751" s="35"/>
      <c r="AX751" s="35"/>
      <c r="AY751" s="36"/>
      <c r="BF751" s="35"/>
      <c r="BG751" s="35"/>
      <c r="BO751" s="35"/>
      <c r="BP751" s="35"/>
      <c r="BW751" s="36"/>
      <c r="BX751" s="36"/>
      <c r="BY751" s="36"/>
      <c r="BZ751" s="36"/>
      <c r="CY751" s="33"/>
    </row>
    <row r="752" spans="2:103" s="32" customFormat="1" x14ac:dyDescent="0.15">
      <c r="B752" s="33"/>
      <c r="E752" s="35"/>
      <c r="H752" s="33"/>
      <c r="N752" s="114"/>
      <c r="O752" s="34"/>
      <c r="P752" s="33"/>
      <c r="Q752" s="33"/>
      <c r="AA752" s="33"/>
      <c r="AB752" s="33"/>
      <c r="AC752" s="33"/>
      <c r="AD752" s="139"/>
      <c r="AE752" s="33"/>
      <c r="AL752" s="35"/>
      <c r="AV752" s="35"/>
      <c r="AW752" s="35"/>
      <c r="AX752" s="35"/>
      <c r="AY752" s="36"/>
      <c r="BF752" s="35"/>
      <c r="BG752" s="35"/>
      <c r="BO752" s="35"/>
      <c r="BP752" s="35"/>
      <c r="BW752" s="36"/>
      <c r="BX752" s="36"/>
      <c r="BY752" s="36"/>
      <c r="BZ752" s="36"/>
      <c r="CY752" s="33"/>
    </row>
    <row r="753" spans="2:103" s="32" customFormat="1" x14ac:dyDescent="0.15">
      <c r="B753" s="33"/>
      <c r="E753" s="35"/>
      <c r="H753" s="33"/>
      <c r="N753" s="114"/>
      <c r="O753" s="34"/>
      <c r="P753" s="33"/>
      <c r="Q753" s="33"/>
      <c r="AA753" s="33"/>
      <c r="AB753" s="33"/>
      <c r="AC753" s="33"/>
      <c r="AD753" s="139"/>
      <c r="AE753" s="33"/>
      <c r="AL753" s="35"/>
      <c r="AV753" s="35"/>
      <c r="AW753" s="35"/>
      <c r="AX753" s="35"/>
      <c r="AY753" s="36"/>
      <c r="BF753" s="35"/>
      <c r="BG753" s="35"/>
      <c r="BO753" s="35"/>
      <c r="BP753" s="35"/>
      <c r="BW753" s="36"/>
      <c r="BX753" s="36"/>
      <c r="BY753" s="36"/>
      <c r="BZ753" s="36"/>
      <c r="CY753" s="33"/>
    </row>
    <row r="754" spans="2:103" s="32" customFormat="1" x14ac:dyDescent="0.15">
      <c r="B754" s="33"/>
      <c r="E754" s="35"/>
      <c r="H754" s="33"/>
      <c r="N754" s="114"/>
      <c r="O754" s="34"/>
      <c r="P754" s="33"/>
      <c r="Q754" s="33"/>
      <c r="AA754" s="33"/>
      <c r="AB754" s="33"/>
      <c r="AC754" s="33"/>
      <c r="AD754" s="139"/>
      <c r="AE754" s="33"/>
      <c r="AL754" s="35"/>
      <c r="AV754" s="35"/>
      <c r="AW754" s="35"/>
      <c r="AX754" s="35"/>
      <c r="AY754" s="36"/>
      <c r="BF754" s="35"/>
      <c r="BG754" s="35"/>
      <c r="BO754" s="35"/>
      <c r="BP754" s="35"/>
      <c r="BW754" s="36"/>
      <c r="BX754" s="36"/>
      <c r="BY754" s="36"/>
      <c r="BZ754" s="36"/>
      <c r="CY754" s="33"/>
    </row>
    <row r="755" spans="2:103" s="32" customFormat="1" x14ac:dyDescent="0.15">
      <c r="B755" s="33"/>
      <c r="E755" s="35"/>
      <c r="H755" s="33"/>
      <c r="N755" s="114"/>
      <c r="O755" s="34"/>
      <c r="P755" s="33"/>
      <c r="Q755" s="33"/>
      <c r="AA755" s="33"/>
      <c r="AB755" s="33"/>
      <c r="AC755" s="33"/>
      <c r="AD755" s="139"/>
      <c r="AE755" s="33"/>
      <c r="AL755" s="35"/>
      <c r="AV755" s="35"/>
      <c r="AW755" s="35"/>
      <c r="AX755" s="35"/>
      <c r="AY755" s="36"/>
      <c r="BF755" s="35"/>
      <c r="BG755" s="35"/>
      <c r="BO755" s="35"/>
      <c r="BP755" s="35"/>
      <c r="BW755" s="36"/>
      <c r="BX755" s="36"/>
      <c r="BY755" s="36"/>
      <c r="BZ755" s="36"/>
      <c r="CY755" s="33"/>
    </row>
    <row r="756" spans="2:103" s="32" customFormat="1" x14ac:dyDescent="0.15">
      <c r="B756" s="33"/>
      <c r="E756" s="35"/>
      <c r="H756" s="33"/>
      <c r="N756" s="114"/>
      <c r="O756" s="34"/>
      <c r="P756" s="33"/>
      <c r="Q756" s="33"/>
      <c r="AA756" s="33"/>
      <c r="AB756" s="33"/>
      <c r="AC756" s="33"/>
      <c r="AD756" s="139"/>
      <c r="AE756" s="33"/>
      <c r="AL756" s="35"/>
      <c r="AV756" s="35"/>
      <c r="AW756" s="35"/>
      <c r="AX756" s="35"/>
      <c r="AY756" s="36"/>
      <c r="BF756" s="35"/>
      <c r="BG756" s="35"/>
      <c r="BO756" s="35"/>
      <c r="BP756" s="35"/>
      <c r="BW756" s="36"/>
      <c r="BX756" s="36"/>
      <c r="BY756" s="36"/>
      <c r="BZ756" s="36"/>
      <c r="CY756" s="33"/>
    </row>
    <row r="757" spans="2:103" s="32" customFormat="1" x14ac:dyDescent="0.15">
      <c r="B757" s="33"/>
      <c r="E757" s="35"/>
      <c r="H757" s="33"/>
      <c r="N757" s="114"/>
      <c r="O757" s="34"/>
      <c r="P757" s="33"/>
      <c r="Q757" s="33"/>
      <c r="AA757" s="33"/>
      <c r="AB757" s="33"/>
      <c r="AC757" s="33"/>
      <c r="AD757" s="139"/>
      <c r="AE757" s="33"/>
      <c r="AL757" s="35"/>
      <c r="AV757" s="35"/>
      <c r="AW757" s="35"/>
      <c r="AX757" s="35"/>
      <c r="AY757" s="36"/>
      <c r="BF757" s="35"/>
      <c r="BG757" s="35"/>
      <c r="BO757" s="35"/>
      <c r="BP757" s="35"/>
      <c r="BW757" s="36"/>
      <c r="BX757" s="36"/>
      <c r="BY757" s="36"/>
      <c r="BZ757" s="36"/>
      <c r="CY757" s="33"/>
    </row>
    <row r="758" spans="2:103" s="32" customFormat="1" x14ac:dyDescent="0.15">
      <c r="B758" s="33"/>
      <c r="E758" s="35"/>
      <c r="H758" s="33"/>
      <c r="N758" s="114"/>
      <c r="O758" s="34"/>
      <c r="P758" s="33"/>
      <c r="Q758" s="33"/>
      <c r="AA758" s="33"/>
      <c r="AB758" s="33"/>
      <c r="AC758" s="33"/>
      <c r="AD758" s="139"/>
      <c r="AE758" s="33"/>
      <c r="AL758" s="35"/>
      <c r="AV758" s="35"/>
      <c r="AW758" s="35"/>
      <c r="AX758" s="35"/>
      <c r="AY758" s="36"/>
      <c r="BF758" s="35"/>
      <c r="BG758" s="35"/>
      <c r="BO758" s="35"/>
      <c r="BP758" s="35"/>
      <c r="BW758" s="36"/>
      <c r="BX758" s="36"/>
      <c r="BY758" s="36"/>
      <c r="BZ758" s="36"/>
      <c r="CY758" s="33"/>
    </row>
    <row r="759" spans="2:103" s="32" customFormat="1" x14ac:dyDescent="0.15">
      <c r="B759" s="33"/>
      <c r="E759" s="35"/>
      <c r="H759" s="33"/>
      <c r="N759" s="114"/>
      <c r="O759" s="34"/>
      <c r="P759" s="33"/>
      <c r="Q759" s="33"/>
      <c r="AA759" s="33"/>
      <c r="AB759" s="33"/>
      <c r="AC759" s="33"/>
      <c r="AD759" s="139"/>
      <c r="AE759" s="33"/>
      <c r="AL759" s="35"/>
      <c r="AV759" s="35"/>
      <c r="AW759" s="35"/>
      <c r="AX759" s="35"/>
      <c r="AY759" s="36"/>
      <c r="BF759" s="35"/>
      <c r="BG759" s="35"/>
      <c r="BO759" s="35"/>
      <c r="BP759" s="35"/>
      <c r="BW759" s="36"/>
      <c r="BX759" s="36"/>
      <c r="BY759" s="36"/>
      <c r="BZ759" s="36"/>
      <c r="CY759" s="33"/>
    </row>
    <row r="760" spans="2:103" s="32" customFormat="1" x14ac:dyDescent="0.15">
      <c r="B760" s="33"/>
      <c r="E760" s="35"/>
      <c r="H760" s="33"/>
      <c r="N760" s="114"/>
      <c r="O760" s="34"/>
      <c r="P760" s="33"/>
      <c r="Q760" s="33"/>
      <c r="AA760" s="33"/>
      <c r="AB760" s="33"/>
      <c r="AC760" s="33"/>
      <c r="AD760" s="139"/>
      <c r="AE760" s="33"/>
      <c r="AL760" s="35"/>
      <c r="AV760" s="35"/>
      <c r="AW760" s="35"/>
      <c r="AX760" s="35"/>
      <c r="AY760" s="36"/>
      <c r="BF760" s="35"/>
      <c r="BG760" s="35"/>
      <c r="BO760" s="35"/>
      <c r="BP760" s="35"/>
      <c r="BW760" s="36"/>
      <c r="BX760" s="36"/>
      <c r="BY760" s="36"/>
      <c r="BZ760" s="36"/>
      <c r="CY760" s="33"/>
    </row>
    <row r="761" spans="2:103" s="32" customFormat="1" x14ac:dyDescent="0.15">
      <c r="B761" s="33"/>
      <c r="E761" s="35"/>
      <c r="H761" s="33"/>
      <c r="N761" s="114"/>
      <c r="O761" s="34"/>
      <c r="P761" s="33"/>
      <c r="Q761" s="33"/>
      <c r="AA761" s="33"/>
      <c r="AB761" s="33"/>
      <c r="AC761" s="33"/>
      <c r="AD761" s="139"/>
      <c r="AE761" s="33"/>
      <c r="AL761" s="35"/>
      <c r="AV761" s="35"/>
      <c r="AW761" s="35"/>
      <c r="AX761" s="35"/>
      <c r="AY761" s="36"/>
      <c r="BF761" s="35"/>
      <c r="BG761" s="35"/>
      <c r="BO761" s="35"/>
      <c r="BP761" s="35"/>
      <c r="BW761" s="36"/>
      <c r="BX761" s="36"/>
      <c r="BY761" s="36"/>
      <c r="BZ761" s="36"/>
      <c r="CY761" s="33"/>
    </row>
    <row r="762" spans="2:103" s="32" customFormat="1" x14ac:dyDescent="0.15">
      <c r="B762" s="33"/>
      <c r="E762" s="35"/>
      <c r="H762" s="33"/>
      <c r="N762" s="114"/>
      <c r="O762" s="34"/>
      <c r="P762" s="33"/>
      <c r="Q762" s="33"/>
      <c r="AA762" s="33"/>
      <c r="AB762" s="33"/>
      <c r="AC762" s="33"/>
      <c r="AD762" s="139"/>
      <c r="AE762" s="33"/>
      <c r="AL762" s="35"/>
      <c r="AV762" s="35"/>
      <c r="AW762" s="35"/>
      <c r="AX762" s="35"/>
      <c r="AY762" s="36"/>
      <c r="BF762" s="35"/>
      <c r="BG762" s="35"/>
      <c r="BO762" s="35"/>
      <c r="BP762" s="35"/>
      <c r="BW762" s="36"/>
      <c r="BX762" s="36"/>
      <c r="BY762" s="36"/>
      <c r="BZ762" s="36"/>
      <c r="CY762" s="33"/>
    </row>
    <row r="763" spans="2:103" s="32" customFormat="1" x14ac:dyDescent="0.15">
      <c r="B763" s="33"/>
      <c r="E763" s="35"/>
      <c r="H763" s="33"/>
      <c r="N763" s="114"/>
      <c r="O763" s="34"/>
      <c r="P763" s="33"/>
      <c r="Q763" s="33"/>
      <c r="AA763" s="33"/>
      <c r="AB763" s="33"/>
      <c r="AC763" s="33"/>
      <c r="AD763" s="139"/>
      <c r="AE763" s="33"/>
      <c r="AL763" s="35"/>
      <c r="AV763" s="35"/>
      <c r="AW763" s="35"/>
      <c r="AX763" s="35"/>
      <c r="AY763" s="36"/>
      <c r="BF763" s="35"/>
      <c r="BG763" s="35"/>
      <c r="BO763" s="35"/>
      <c r="BP763" s="35"/>
      <c r="BW763" s="36"/>
      <c r="BX763" s="36"/>
      <c r="BY763" s="36"/>
      <c r="BZ763" s="36"/>
      <c r="CY763" s="33"/>
    </row>
    <row r="764" spans="2:103" s="32" customFormat="1" x14ac:dyDescent="0.15">
      <c r="B764" s="33"/>
      <c r="E764" s="35"/>
      <c r="H764" s="33"/>
      <c r="N764" s="114"/>
      <c r="O764" s="34"/>
      <c r="P764" s="33"/>
      <c r="Q764" s="33"/>
      <c r="AA764" s="33"/>
      <c r="AB764" s="33"/>
      <c r="AC764" s="33"/>
      <c r="AD764" s="139"/>
      <c r="AE764" s="33"/>
      <c r="AL764" s="35"/>
      <c r="AV764" s="35"/>
      <c r="AW764" s="35"/>
      <c r="AX764" s="35"/>
      <c r="AY764" s="36"/>
      <c r="BF764" s="35"/>
      <c r="BG764" s="35"/>
      <c r="BO764" s="35"/>
      <c r="BP764" s="35"/>
      <c r="BW764" s="36"/>
      <c r="BX764" s="36"/>
      <c r="BY764" s="36"/>
      <c r="BZ764" s="36"/>
      <c r="CY764" s="33"/>
    </row>
    <row r="765" spans="2:103" s="32" customFormat="1" x14ac:dyDescent="0.15">
      <c r="B765" s="33"/>
      <c r="E765" s="35"/>
      <c r="H765" s="33"/>
      <c r="N765" s="114"/>
      <c r="O765" s="34"/>
      <c r="P765" s="33"/>
      <c r="Q765" s="33"/>
      <c r="AA765" s="33"/>
      <c r="AB765" s="33"/>
      <c r="AC765" s="33"/>
      <c r="AD765" s="139"/>
      <c r="AE765" s="33"/>
      <c r="AL765" s="35"/>
      <c r="AV765" s="35"/>
      <c r="AW765" s="35"/>
      <c r="AX765" s="35"/>
      <c r="AY765" s="36"/>
      <c r="BF765" s="35"/>
      <c r="BG765" s="35"/>
      <c r="BO765" s="35"/>
      <c r="BP765" s="35"/>
      <c r="BW765" s="36"/>
      <c r="BX765" s="36"/>
      <c r="BY765" s="36"/>
      <c r="BZ765" s="36"/>
      <c r="CY765" s="33"/>
    </row>
    <row r="766" spans="2:103" s="32" customFormat="1" x14ac:dyDescent="0.15">
      <c r="B766" s="33"/>
      <c r="E766" s="35"/>
      <c r="H766" s="33"/>
      <c r="N766" s="114"/>
      <c r="O766" s="34"/>
      <c r="P766" s="33"/>
      <c r="Q766" s="33"/>
      <c r="AA766" s="33"/>
      <c r="AB766" s="33"/>
      <c r="AC766" s="33"/>
      <c r="AD766" s="139"/>
      <c r="AE766" s="33"/>
      <c r="AL766" s="35"/>
      <c r="AV766" s="35"/>
      <c r="AW766" s="35"/>
      <c r="AX766" s="35"/>
      <c r="AY766" s="36"/>
      <c r="BF766" s="35"/>
      <c r="BG766" s="35"/>
      <c r="BO766" s="35"/>
      <c r="BP766" s="35"/>
      <c r="BW766" s="36"/>
      <c r="BX766" s="36"/>
      <c r="BY766" s="36"/>
      <c r="BZ766" s="36"/>
      <c r="CY766" s="33"/>
    </row>
    <row r="767" spans="2:103" s="32" customFormat="1" x14ac:dyDescent="0.15">
      <c r="B767" s="33"/>
      <c r="E767" s="35"/>
      <c r="H767" s="33"/>
      <c r="N767" s="114"/>
      <c r="O767" s="34"/>
      <c r="P767" s="33"/>
      <c r="Q767" s="33"/>
      <c r="AA767" s="33"/>
      <c r="AB767" s="33"/>
      <c r="AC767" s="33"/>
      <c r="AD767" s="139"/>
      <c r="AE767" s="33"/>
      <c r="AL767" s="35"/>
      <c r="AV767" s="35"/>
      <c r="AW767" s="35"/>
      <c r="AX767" s="35"/>
      <c r="AY767" s="36"/>
      <c r="BF767" s="35"/>
      <c r="BG767" s="35"/>
      <c r="BO767" s="35"/>
      <c r="BP767" s="35"/>
      <c r="BW767" s="36"/>
      <c r="BX767" s="36"/>
      <c r="BY767" s="36"/>
      <c r="BZ767" s="36"/>
      <c r="CY767" s="33"/>
    </row>
    <row r="768" spans="2:103" s="32" customFormat="1" x14ac:dyDescent="0.15">
      <c r="B768" s="33"/>
      <c r="E768" s="35"/>
      <c r="H768" s="33"/>
      <c r="N768" s="114"/>
      <c r="O768" s="34"/>
      <c r="P768" s="33"/>
      <c r="Q768" s="33"/>
      <c r="AA768" s="33"/>
      <c r="AB768" s="33"/>
      <c r="AC768" s="33"/>
      <c r="AD768" s="139"/>
      <c r="AE768" s="33"/>
      <c r="AL768" s="35"/>
      <c r="AV768" s="35"/>
      <c r="AW768" s="35"/>
      <c r="AX768" s="35"/>
      <c r="AY768" s="36"/>
      <c r="BF768" s="35"/>
      <c r="BG768" s="35"/>
      <c r="BO768" s="35"/>
      <c r="BP768" s="35"/>
      <c r="BW768" s="36"/>
      <c r="BX768" s="36"/>
      <c r="BY768" s="36"/>
      <c r="BZ768" s="36"/>
      <c r="CY768" s="33"/>
    </row>
    <row r="769" spans="2:103" s="32" customFormat="1" x14ac:dyDescent="0.15">
      <c r="B769" s="33"/>
      <c r="E769" s="35"/>
      <c r="H769" s="33"/>
      <c r="N769" s="114"/>
      <c r="O769" s="34"/>
      <c r="P769" s="33"/>
      <c r="Q769" s="33"/>
      <c r="AA769" s="33"/>
      <c r="AB769" s="33"/>
      <c r="AC769" s="33"/>
      <c r="AD769" s="139"/>
      <c r="AE769" s="33"/>
      <c r="AL769" s="35"/>
      <c r="AV769" s="35"/>
      <c r="AW769" s="35"/>
      <c r="AX769" s="35"/>
      <c r="AY769" s="36"/>
      <c r="BF769" s="35"/>
      <c r="BG769" s="35"/>
      <c r="BO769" s="35"/>
      <c r="BP769" s="35"/>
      <c r="BW769" s="36"/>
      <c r="BX769" s="36"/>
      <c r="BY769" s="36"/>
      <c r="BZ769" s="36"/>
      <c r="CY769" s="33"/>
    </row>
    <row r="770" spans="2:103" s="32" customFormat="1" x14ac:dyDescent="0.15">
      <c r="B770" s="33"/>
      <c r="E770" s="35"/>
      <c r="H770" s="33"/>
      <c r="N770" s="114"/>
      <c r="O770" s="34"/>
      <c r="P770" s="33"/>
      <c r="Q770" s="33"/>
      <c r="AA770" s="33"/>
      <c r="AB770" s="33"/>
      <c r="AC770" s="33"/>
      <c r="AD770" s="139"/>
      <c r="AE770" s="33"/>
      <c r="AL770" s="35"/>
      <c r="AV770" s="35"/>
      <c r="AW770" s="35"/>
      <c r="AX770" s="35"/>
      <c r="AY770" s="36"/>
      <c r="BF770" s="35"/>
      <c r="BG770" s="35"/>
      <c r="BO770" s="35"/>
      <c r="BP770" s="35"/>
      <c r="BW770" s="36"/>
      <c r="BX770" s="36"/>
      <c r="BY770" s="36"/>
      <c r="BZ770" s="36"/>
      <c r="CY770" s="33"/>
    </row>
    <row r="771" spans="2:103" s="32" customFormat="1" x14ac:dyDescent="0.15">
      <c r="B771" s="33"/>
      <c r="E771" s="35"/>
      <c r="H771" s="33"/>
      <c r="N771" s="114"/>
      <c r="O771" s="34"/>
      <c r="P771" s="33"/>
      <c r="Q771" s="33"/>
      <c r="AA771" s="33"/>
      <c r="AB771" s="33"/>
      <c r="AC771" s="33"/>
      <c r="AD771" s="139"/>
      <c r="AE771" s="33"/>
      <c r="AL771" s="35"/>
      <c r="AV771" s="35"/>
      <c r="AW771" s="35"/>
      <c r="AX771" s="35"/>
      <c r="AY771" s="36"/>
      <c r="BF771" s="35"/>
      <c r="BG771" s="35"/>
      <c r="BO771" s="35"/>
      <c r="BP771" s="35"/>
      <c r="BW771" s="36"/>
      <c r="BX771" s="36"/>
      <c r="BY771" s="36"/>
      <c r="BZ771" s="36"/>
      <c r="CY771" s="33"/>
    </row>
    <row r="772" spans="2:103" s="32" customFormat="1" x14ac:dyDescent="0.15">
      <c r="B772" s="33"/>
      <c r="E772" s="35"/>
      <c r="H772" s="33"/>
      <c r="N772" s="114"/>
      <c r="O772" s="34"/>
      <c r="P772" s="33"/>
      <c r="Q772" s="33"/>
      <c r="AA772" s="33"/>
      <c r="AB772" s="33"/>
      <c r="AC772" s="33"/>
      <c r="AD772" s="139"/>
      <c r="AE772" s="33"/>
      <c r="AL772" s="35"/>
      <c r="AV772" s="35"/>
      <c r="AW772" s="35"/>
      <c r="AX772" s="35"/>
      <c r="AY772" s="36"/>
      <c r="BF772" s="35"/>
      <c r="BG772" s="35"/>
      <c r="BO772" s="35"/>
      <c r="BP772" s="35"/>
      <c r="BW772" s="36"/>
      <c r="BX772" s="36"/>
      <c r="BY772" s="36"/>
      <c r="BZ772" s="36"/>
      <c r="CY772" s="33"/>
    </row>
    <row r="773" spans="2:103" s="32" customFormat="1" x14ac:dyDescent="0.15">
      <c r="B773" s="33"/>
      <c r="E773" s="35"/>
      <c r="H773" s="33"/>
      <c r="N773" s="114"/>
      <c r="O773" s="34"/>
      <c r="P773" s="33"/>
      <c r="Q773" s="33"/>
      <c r="AA773" s="33"/>
      <c r="AB773" s="33"/>
      <c r="AC773" s="33"/>
      <c r="AD773" s="139"/>
      <c r="AE773" s="33"/>
      <c r="AL773" s="35"/>
      <c r="AV773" s="35"/>
      <c r="AW773" s="35"/>
      <c r="AX773" s="35"/>
      <c r="AY773" s="36"/>
      <c r="BF773" s="35"/>
      <c r="BG773" s="35"/>
      <c r="BO773" s="35"/>
      <c r="BP773" s="35"/>
      <c r="BW773" s="36"/>
      <c r="BX773" s="36"/>
      <c r="BY773" s="36"/>
      <c r="BZ773" s="36"/>
      <c r="CY773" s="33"/>
    </row>
    <row r="774" spans="2:103" s="32" customFormat="1" x14ac:dyDescent="0.15">
      <c r="B774" s="33"/>
      <c r="E774" s="35"/>
      <c r="H774" s="33"/>
      <c r="N774" s="114"/>
      <c r="O774" s="34"/>
      <c r="P774" s="33"/>
      <c r="Q774" s="33"/>
      <c r="AA774" s="33"/>
      <c r="AB774" s="33"/>
      <c r="AC774" s="33"/>
      <c r="AD774" s="139"/>
      <c r="AE774" s="33"/>
      <c r="AL774" s="35"/>
      <c r="AV774" s="35"/>
      <c r="AW774" s="35"/>
      <c r="AX774" s="35"/>
      <c r="AY774" s="36"/>
      <c r="BF774" s="35"/>
      <c r="BG774" s="35"/>
      <c r="BO774" s="35"/>
      <c r="BP774" s="35"/>
      <c r="BW774" s="36"/>
      <c r="BX774" s="36"/>
      <c r="BY774" s="36"/>
      <c r="BZ774" s="36"/>
      <c r="CY774" s="33"/>
    </row>
    <row r="775" spans="2:103" s="32" customFormat="1" x14ac:dyDescent="0.15">
      <c r="B775" s="33"/>
      <c r="E775" s="35"/>
      <c r="H775" s="33"/>
      <c r="N775" s="114"/>
      <c r="O775" s="34"/>
      <c r="P775" s="33"/>
      <c r="Q775" s="33"/>
      <c r="AA775" s="33"/>
      <c r="AB775" s="33"/>
      <c r="AC775" s="33"/>
      <c r="AD775" s="139"/>
      <c r="AE775" s="33"/>
      <c r="AL775" s="35"/>
      <c r="AV775" s="35"/>
      <c r="AW775" s="35"/>
      <c r="AX775" s="35"/>
      <c r="AY775" s="36"/>
      <c r="BF775" s="35"/>
      <c r="BG775" s="35"/>
      <c r="BO775" s="35"/>
      <c r="BP775" s="35"/>
      <c r="BW775" s="36"/>
      <c r="BX775" s="36"/>
      <c r="BY775" s="36"/>
      <c r="BZ775" s="36"/>
      <c r="CY775" s="33"/>
    </row>
    <row r="776" spans="2:103" s="32" customFormat="1" x14ac:dyDescent="0.15">
      <c r="B776" s="33"/>
      <c r="E776" s="35"/>
      <c r="H776" s="33"/>
      <c r="N776" s="114"/>
      <c r="O776" s="34"/>
      <c r="P776" s="33"/>
      <c r="Q776" s="33"/>
      <c r="AA776" s="33"/>
      <c r="AB776" s="33"/>
      <c r="AC776" s="33"/>
      <c r="AD776" s="139"/>
      <c r="AE776" s="33"/>
      <c r="AL776" s="35"/>
      <c r="AV776" s="35"/>
      <c r="AW776" s="35"/>
      <c r="AX776" s="35"/>
      <c r="AY776" s="36"/>
      <c r="BF776" s="35"/>
      <c r="BG776" s="35"/>
      <c r="BO776" s="35"/>
      <c r="BP776" s="35"/>
      <c r="BW776" s="36"/>
      <c r="BX776" s="36"/>
      <c r="BY776" s="36"/>
      <c r="BZ776" s="36"/>
      <c r="CY776" s="33"/>
    </row>
    <row r="777" spans="2:103" s="32" customFormat="1" x14ac:dyDescent="0.15">
      <c r="B777" s="33"/>
      <c r="E777" s="35"/>
      <c r="H777" s="33"/>
      <c r="N777" s="114"/>
      <c r="O777" s="34"/>
      <c r="P777" s="33"/>
      <c r="Q777" s="33"/>
      <c r="AA777" s="33"/>
      <c r="AB777" s="33"/>
      <c r="AC777" s="33"/>
      <c r="AD777" s="139"/>
      <c r="AE777" s="33"/>
      <c r="AL777" s="35"/>
      <c r="AV777" s="35"/>
      <c r="AW777" s="35"/>
      <c r="AX777" s="35"/>
      <c r="AY777" s="36"/>
      <c r="BF777" s="35"/>
      <c r="BG777" s="35"/>
      <c r="BO777" s="35"/>
      <c r="BP777" s="35"/>
      <c r="BW777" s="36"/>
      <c r="BX777" s="36"/>
      <c r="BY777" s="36"/>
      <c r="BZ777" s="36"/>
      <c r="CY777" s="33"/>
    </row>
    <row r="778" spans="2:103" s="32" customFormat="1" x14ac:dyDescent="0.15">
      <c r="B778" s="33"/>
      <c r="E778" s="35"/>
      <c r="H778" s="33"/>
      <c r="N778" s="114"/>
      <c r="O778" s="34"/>
      <c r="P778" s="33"/>
      <c r="Q778" s="33"/>
      <c r="AA778" s="33"/>
      <c r="AB778" s="33"/>
      <c r="AC778" s="33"/>
      <c r="AD778" s="139"/>
      <c r="AE778" s="33"/>
      <c r="AL778" s="35"/>
      <c r="AV778" s="35"/>
      <c r="AW778" s="35"/>
      <c r="AX778" s="35"/>
      <c r="AY778" s="36"/>
      <c r="BF778" s="35"/>
      <c r="BG778" s="35"/>
      <c r="BO778" s="35"/>
      <c r="BP778" s="35"/>
      <c r="BW778" s="36"/>
      <c r="BX778" s="36"/>
      <c r="BY778" s="36"/>
      <c r="BZ778" s="36"/>
      <c r="CY778" s="33"/>
    </row>
    <row r="779" spans="2:103" s="32" customFormat="1" x14ac:dyDescent="0.15">
      <c r="B779" s="33"/>
      <c r="E779" s="35"/>
      <c r="H779" s="33"/>
      <c r="N779" s="114"/>
      <c r="O779" s="34"/>
      <c r="P779" s="33"/>
      <c r="Q779" s="33"/>
      <c r="AA779" s="33"/>
      <c r="AB779" s="33"/>
      <c r="AC779" s="33"/>
      <c r="AD779" s="139"/>
      <c r="AE779" s="33"/>
      <c r="AL779" s="35"/>
      <c r="AV779" s="35"/>
      <c r="AW779" s="35"/>
      <c r="AX779" s="35"/>
      <c r="AY779" s="36"/>
      <c r="BF779" s="35"/>
      <c r="BG779" s="35"/>
      <c r="BO779" s="35"/>
      <c r="BP779" s="35"/>
      <c r="BW779" s="36"/>
      <c r="BX779" s="36"/>
      <c r="BY779" s="36"/>
      <c r="BZ779" s="36"/>
      <c r="CY779" s="33"/>
    </row>
    <row r="780" spans="2:103" s="32" customFormat="1" x14ac:dyDescent="0.15">
      <c r="B780" s="33"/>
      <c r="E780" s="35"/>
      <c r="H780" s="33"/>
      <c r="N780" s="114"/>
      <c r="O780" s="34"/>
      <c r="P780" s="33"/>
      <c r="Q780" s="33"/>
      <c r="AA780" s="33"/>
      <c r="AB780" s="33"/>
      <c r="AC780" s="33"/>
      <c r="AD780" s="139"/>
      <c r="AE780" s="33"/>
      <c r="AL780" s="35"/>
      <c r="AV780" s="35"/>
      <c r="AW780" s="35"/>
      <c r="AX780" s="35"/>
      <c r="AY780" s="36"/>
      <c r="BF780" s="35"/>
      <c r="BG780" s="35"/>
      <c r="BO780" s="35"/>
      <c r="BP780" s="35"/>
      <c r="BW780" s="36"/>
      <c r="BX780" s="36"/>
      <c r="BY780" s="36"/>
      <c r="BZ780" s="36"/>
      <c r="CY780" s="33"/>
    </row>
    <row r="781" spans="2:103" s="32" customFormat="1" x14ac:dyDescent="0.15">
      <c r="B781" s="33"/>
      <c r="E781" s="35"/>
      <c r="H781" s="33"/>
      <c r="N781" s="114"/>
      <c r="O781" s="34"/>
      <c r="P781" s="33"/>
      <c r="Q781" s="33"/>
      <c r="AA781" s="33"/>
      <c r="AB781" s="33"/>
      <c r="AC781" s="33"/>
      <c r="AD781" s="139"/>
      <c r="AE781" s="33"/>
      <c r="AL781" s="35"/>
      <c r="AV781" s="35"/>
      <c r="AW781" s="35"/>
      <c r="AX781" s="35"/>
      <c r="AY781" s="36"/>
      <c r="BF781" s="35"/>
      <c r="BG781" s="35"/>
      <c r="BO781" s="35"/>
      <c r="BP781" s="35"/>
      <c r="BW781" s="36"/>
      <c r="BX781" s="36"/>
      <c r="BY781" s="36"/>
      <c r="BZ781" s="36"/>
      <c r="CY781" s="33"/>
    </row>
    <row r="782" spans="2:103" s="32" customFormat="1" x14ac:dyDescent="0.15">
      <c r="B782" s="33"/>
      <c r="E782" s="35"/>
      <c r="H782" s="33"/>
      <c r="N782" s="114"/>
      <c r="O782" s="34"/>
      <c r="P782" s="33"/>
      <c r="Q782" s="33"/>
      <c r="AA782" s="33"/>
      <c r="AB782" s="33"/>
      <c r="AC782" s="33"/>
      <c r="AD782" s="139"/>
      <c r="AE782" s="33"/>
      <c r="AL782" s="35"/>
      <c r="AV782" s="35"/>
      <c r="AW782" s="35"/>
      <c r="AX782" s="35"/>
      <c r="AY782" s="36"/>
      <c r="BF782" s="35"/>
      <c r="BG782" s="35"/>
      <c r="BO782" s="35"/>
      <c r="BP782" s="35"/>
      <c r="BW782" s="36"/>
      <c r="BX782" s="36"/>
      <c r="BY782" s="36"/>
      <c r="BZ782" s="36"/>
      <c r="CY782" s="33"/>
    </row>
    <row r="783" spans="2:103" s="32" customFormat="1" x14ac:dyDescent="0.15">
      <c r="B783" s="33"/>
      <c r="E783" s="35"/>
      <c r="H783" s="33"/>
      <c r="N783" s="114"/>
      <c r="O783" s="34"/>
      <c r="P783" s="33"/>
      <c r="Q783" s="33"/>
      <c r="AA783" s="33"/>
      <c r="AB783" s="33"/>
      <c r="AC783" s="33"/>
      <c r="AD783" s="139"/>
      <c r="AE783" s="33"/>
      <c r="AL783" s="35"/>
      <c r="AV783" s="35"/>
      <c r="AW783" s="35"/>
      <c r="AX783" s="35"/>
      <c r="AY783" s="36"/>
      <c r="BF783" s="35"/>
      <c r="BG783" s="35"/>
      <c r="BO783" s="35"/>
      <c r="BP783" s="35"/>
      <c r="BW783" s="36"/>
      <c r="BX783" s="36"/>
      <c r="BY783" s="36"/>
      <c r="BZ783" s="36"/>
      <c r="CY783" s="33"/>
    </row>
    <row r="784" spans="2:103" s="32" customFormat="1" x14ac:dyDescent="0.15">
      <c r="B784" s="33"/>
      <c r="E784" s="35"/>
      <c r="H784" s="33"/>
      <c r="N784" s="114"/>
      <c r="O784" s="34"/>
      <c r="P784" s="33"/>
      <c r="Q784" s="33"/>
      <c r="AA784" s="33"/>
      <c r="AB784" s="33"/>
      <c r="AC784" s="33"/>
      <c r="AD784" s="139"/>
      <c r="AE784" s="33"/>
      <c r="AL784" s="35"/>
      <c r="AV784" s="35"/>
      <c r="AW784" s="35"/>
      <c r="AX784" s="35"/>
      <c r="AY784" s="36"/>
      <c r="BF784" s="35"/>
      <c r="BG784" s="35"/>
      <c r="BO784" s="35"/>
      <c r="BP784" s="35"/>
      <c r="BW784" s="36"/>
      <c r="BX784" s="36"/>
      <c r="BY784" s="36"/>
      <c r="BZ784" s="36"/>
      <c r="CY784" s="33"/>
    </row>
    <row r="785" spans="2:103" s="32" customFormat="1" x14ac:dyDescent="0.15">
      <c r="B785" s="33"/>
      <c r="E785" s="35"/>
      <c r="H785" s="33"/>
      <c r="N785" s="114"/>
      <c r="O785" s="34"/>
      <c r="P785" s="33"/>
      <c r="Q785" s="33"/>
      <c r="AA785" s="33"/>
      <c r="AB785" s="33"/>
      <c r="AC785" s="33"/>
      <c r="AD785" s="139"/>
      <c r="AE785" s="33"/>
      <c r="AL785" s="35"/>
      <c r="AV785" s="35"/>
      <c r="AW785" s="35"/>
      <c r="AX785" s="35"/>
      <c r="AY785" s="36"/>
      <c r="BF785" s="35"/>
      <c r="BG785" s="35"/>
      <c r="BO785" s="35"/>
      <c r="BP785" s="35"/>
      <c r="BW785" s="36"/>
      <c r="BX785" s="36"/>
      <c r="BY785" s="36"/>
      <c r="BZ785" s="36"/>
      <c r="CY785" s="33"/>
    </row>
    <row r="786" spans="2:103" s="32" customFormat="1" x14ac:dyDescent="0.15">
      <c r="B786" s="33"/>
      <c r="E786" s="35"/>
      <c r="H786" s="33"/>
      <c r="N786" s="114"/>
      <c r="O786" s="34"/>
      <c r="P786" s="33"/>
      <c r="Q786" s="33"/>
      <c r="AA786" s="33"/>
      <c r="AB786" s="33"/>
      <c r="AC786" s="33"/>
      <c r="AD786" s="139"/>
      <c r="AE786" s="33"/>
      <c r="AL786" s="35"/>
      <c r="AV786" s="35"/>
      <c r="AW786" s="35"/>
      <c r="AX786" s="35"/>
      <c r="AY786" s="36"/>
      <c r="BF786" s="35"/>
      <c r="BG786" s="35"/>
      <c r="BO786" s="35"/>
      <c r="BP786" s="35"/>
      <c r="BW786" s="36"/>
      <c r="BX786" s="36"/>
      <c r="BY786" s="36"/>
      <c r="BZ786" s="36"/>
      <c r="CY786" s="33"/>
    </row>
    <row r="787" spans="2:103" s="32" customFormat="1" x14ac:dyDescent="0.15">
      <c r="B787" s="33"/>
      <c r="E787" s="35"/>
      <c r="H787" s="33"/>
      <c r="N787" s="114"/>
      <c r="O787" s="34"/>
      <c r="P787" s="33"/>
      <c r="Q787" s="33"/>
      <c r="AA787" s="33"/>
      <c r="AB787" s="33"/>
      <c r="AC787" s="33"/>
      <c r="AD787" s="139"/>
      <c r="AE787" s="33"/>
      <c r="AL787" s="35"/>
      <c r="AV787" s="35"/>
      <c r="AW787" s="35"/>
      <c r="AX787" s="35"/>
      <c r="AY787" s="36"/>
      <c r="BF787" s="35"/>
      <c r="BG787" s="35"/>
      <c r="BO787" s="35"/>
      <c r="BP787" s="35"/>
      <c r="BW787" s="36"/>
      <c r="BX787" s="36"/>
      <c r="BY787" s="36"/>
      <c r="BZ787" s="36"/>
      <c r="CY787" s="33"/>
    </row>
    <row r="788" spans="2:103" s="32" customFormat="1" x14ac:dyDescent="0.15">
      <c r="B788" s="33"/>
      <c r="E788" s="35"/>
      <c r="H788" s="33"/>
      <c r="N788" s="114"/>
      <c r="O788" s="34"/>
      <c r="P788" s="33"/>
      <c r="Q788" s="33"/>
      <c r="AA788" s="33"/>
      <c r="AB788" s="33"/>
      <c r="AC788" s="33"/>
      <c r="AD788" s="139"/>
      <c r="AE788" s="33"/>
      <c r="AL788" s="35"/>
      <c r="AV788" s="35"/>
      <c r="AW788" s="35"/>
      <c r="AX788" s="35"/>
      <c r="AY788" s="36"/>
      <c r="BF788" s="35"/>
      <c r="BG788" s="35"/>
      <c r="BO788" s="35"/>
      <c r="BP788" s="35"/>
      <c r="BW788" s="36"/>
      <c r="BX788" s="36"/>
      <c r="BY788" s="36"/>
      <c r="BZ788" s="36"/>
      <c r="CY788" s="33"/>
    </row>
    <row r="789" spans="2:103" s="32" customFormat="1" x14ac:dyDescent="0.15">
      <c r="B789" s="33"/>
      <c r="E789" s="35"/>
      <c r="H789" s="33"/>
      <c r="N789" s="114"/>
      <c r="O789" s="34"/>
      <c r="P789" s="33"/>
      <c r="Q789" s="33"/>
      <c r="AA789" s="33"/>
      <c r="AB789" s="33"/>
      <c r="AC789" s="33"/>
      <c r="AD789" s="139"/>
      <c r="AE789" s="33"/>
      <c r="AL789" s="35"/>
      <c r="AV789" s="35"/>
      <c r="AW789" s="35"/>
      <c r="AX789" s="35"/>
      <c r="AY789" s="36"/>
      <c r="BF789" s="35"/>
      <c r="BG789" s="35"/>
      <c r="BO789" s="35"/>
      <c r="BP789" s="35"/>
      <c r="BW789" s="36"/>
      <c r="BX789" s="36"/>
      <c r="BY789" s="36"/>
      <c r="BZ789" s="36"/>
      <c r="CY789" s="33"/>
    </row>
    <row r="790" spans="2:103" s="32" customFormat="1" x14ac:dyDescent="0.15">
      <c r="B790" s="33"/>
      <c r="E790" s="35"/>
      <c r="H790" s="33"/>
      <c r="N790" s="114"/>
      <c r="O790" s="34"/>
      <c r="P790" s="33"/>
      <c r="Q790" s="33"/>
      <c r="AA790" s="33"/>
      <c r="AB790" s="33"/>
      <c r="AC790" s="33"/>
      <c r="AD790" s="139"/>
      <c r="AE790" s="33"/>
      <c r="AL790" s="35"/>
      <c r="AV790" s="35"/>
      <c r="AW790" s="35"/>
      <c r="AX790" s="35"/>
      <c r="AY790" s="36"/>
      <c r="BF790" s="35"/>
      <c r="BG790" s="35"/>
      <c r="BO790" s="35"/>
      <c r="BP790" s="35"/>
      <c r="BW790" s="36"/>
      <c r="BX790" s="36"/>
      <c r="BY790" s="36"/>
      <c r="BZ790" s="36"/>
      <c r="CY790" s="33"/>
    </row>
    <row r="791" spans="2:103" s="32" customFormat="1" x14ac:dyDescent="0.15">
      <c r="B791" s="33"/>
      <c r="E791" s="35"/>
      <c r="H791" s="33"/>
      <c r="N791" s="114"/>
      <c r="O791" s="34"/>
      <c r="P791" s="33"/>
      <c r="Q791" s="33"/>
      <c r="AA791" s="33"/>
      <c r="AB791" s="33"/>
      <c r="AC791" s="33"/>
      <c r="AD791" s="139"/>
      <c r="AE791" s="33"/>
      <c r="AL791" s="35"/>
      <c r="AV791" s="35"/>
      <c r="AW791" s="35"/>
      <c r="AX791" s="35"/>
      <c r="AY791" s="36"/>
      <c r="BF791" s="35"/>
      <c r="BG791" s="35"/>
      <c r="BO791" s="35"/>
      <c r="BP791" s="35"/>
      <c r="BW791" s="36"/>
      <c r="BX791" s="36"/>
      <c r="BY791" s="36"/>
      <c r="BZ791" s="36"/>
      <c r="CY791" s="33"/>
    </row>
    <row r="792" spans="2:103" s="32" customFormat="1" x14ac:dyDescent="0.15">
      <c r="B792" s="33"/>
      <c r="E792" s="35"/>
      <c r="H792" s="33"/>
      <c r="N792" s="114"/>
      <c r="O792" s="34"/>
      <c r="P792" s="33"/>
      <c r="Q792" s="33"/>
      <c r="AA792" s="33"/>
      <c r="AB792" s="33"/>
      <c r="AC792" s="33"/>
      <c r="AD792" s="139"/>
      <c r="AE792" s="33"/>
      <c r="AL792" s="35"/>
      <c r="AV792" s="35"/>
      <c r="AW792" s="35"/>
      <c r="AX792" s="35"/>
      <c r="AY792" s="36"/>
      <c r="BF792" s="35"/>
      <c r="BG792" s="35"/>
      <c r="BO792" s="35"/>
      <c r="BP792" s="35"/>
      <c r="BW792" s="36"/>
      <c r="BX792" s="36"/>
      <c r="BY792" s="36"/>
      <c r="BZ792" s="36"/>
      <c r="CY792" s="33"/>
    </row>
    <row r="793" spans="2:103" s="32" customFormat="1" x14ac:dyDescent="0.15">
      <c r="B793" s="33"/>
      <c r="E793" s="35"/>
      <c r="H793" s="33"/>
      <c r="N793" s="114"/>
      <c r="O793" s="34"/>
      <c r="P793" s="33"/>
      <c r="Q793" s="33"/>
      <c r="AA793" s="33"/>
      <c r="AB793" s="33"/>
      <c r="AC793" s="33"/>
      <c r="AD793" s="139"/>
      <c r="AE793" s="33"/>
      <c r="AL793" s="35"/>
      <c r="AV793" s="35"/>
      <c r="AW793" s="35"/>
      <c r="AX793" s="35"/>
      <c r="AY793" s="36"/>
      <c r="BF793" s="35"/>
      <c r="BG793" s="35"/>
      <c r="BO793" s="35"/>
      <c r="BP793" s="35"/>
      <c r="BW793" s="36"/>
      <c r="BX793" s="36"/>
      <c r="BY793" s="36"/>
      <c r="BZ793" s="36"/>
      <c r="CY793" s="33"/>
    </row>
    <row r="794" spans="2:103" s="32" customFormat="1" x14ac:dyDescent="0.15">
      <c r="B794" s="33"/>
      <c r="E794" s="35"/>
      <c r="H794" s="33"/>
      <c r="N794" s="114"/>
      <c r="O794" s="34"/>
      <c r="P794" s="33"/>
      <c r="Q794" s="33"/>
      <c r="AA794" s="33"/>
      <c r="AB794" s="33"/>
      <c r="AC794" s="33"/>
      <c r="AD794" s="139"/>
      <c r="AE794" s="33"/>
      <c r="AL794" s="35"/>
      <c r="AV794" s="35"/>
      <c r="AW794" s="35"/>
      <c r="AX794" s="35"/>
      <c r="AY794" s="36"/>
      <c r="BF794" s="35"/>
      <c r="BG794" s="35"/>
      <c r="BO794" s="35"/>
      <c r="BP794" s="35"/>
      <c r="BW794" s="36"/>
      <c r="BX794" s="36"/>
      <c r="BY794" s="36"/>
      <c r="BZ794" s="36"/>
      <c r="CY794" s="33"/>
    </row>
    <row r="795" spans="2:103" s="32" customFormat="1" x14ac:dyDescent="0.15">
      <c r="B795" s="33"/>
      <c r="E795" s="35"/>
      <c r="H795" s="33"/>
      <c r="N795" s="114"/>
      <c r="O795" s="34"/>
      <c r="P795" s="33"/>
      <c r="Q795" s="33"/>
      <c r="AA795" s="33"/>
      <c r="AB795" s="33"/>
      <c r="AC795" s="33"/>
      <c r="AD795" s="139"/>
      <c r="AE795" s="33"/>
      <c r="AL795" s="35"/>
      <c r="AV795" s="35"/>
      <c r="AW795" s="35"/>
      <c r="AX795" s="35"/>
      <c r="AY795" s="36"/>
      <c r="BF795" s="35"/>
      <c r="BG795" s="35"/>
      <c r="BO795" s="35"/>
      <c r="BP795" s="35"/>
      <c r="BW795" s="36"/>
      <c r="BX795" s="36"/>
      <c r="BY795" s="36"/>
      <c r="BZ795" s="36"/>
      <c r="CY795" s="33"/>
    </row>
    <row r="796" spans="2:103" s="32" customFormat="1" x14ac:dyDescent="0.15">
      <c r="B796" s="33"/>
      <c r="E796" s="35"/>
      <c r="H796" s="33"/>
      <c r="N796" s="114"/>
      <c r="O796" s="34"/>
      <c r="P796" s="33"/>
      <c r="Q796" s="33"/>
      <c r="AA796" s="33"/>
      <c r="AB796" s="33"/>
      <c r="AC796" s="33"/>
      <c r="AD796" s="139"/>
      <c r="AE796" s="33"/>
      <c r="AL796" s="35"/>
      <c r="AV796" s="35"/>
      <c r="AW796" s="35"/>
      <c r="AX796" s="35"/>
      <c r="AY796" s="36"/>
      <c r="BF796" s="35"/>
      <c r="BG796" s="35"/>
      <c r="BO796" s="35"/>
      <c r="BP796" s="35"/>
      <c r="BW796" s="36"/>
      <c r="BX796" s="36"/>
      <c r="BY796" s="36"/>
      <c r="BZ796" s="36"/>
      <c r="CY796" s="33"/>
    </row>
    <row r="797" spans="2:103" s="32" customFormat="1" x14ac:dyDescent="0.15">
      <c r="B797" s="33"/>
      <c r="E797" s="35"/>
      <c r="H797" s="33"/>
      <c r="N797" s="114"/>
      <c r="O797" s="34"/>
      <c r="P797" s="33"/>
      <c r="Q797" s="33"/>
      <c r="AA797" s="33"/>
      <c r="AB797" s="33"/>
      <c r="AC797" s="33"/>
      <c r="AD797" s="139"/>
      <c r="AE797" s="33"/>
      <c r="AL797" s="35"/>
      <c r="AV797" s="35"/>
      <c r="AW797" s="35"/>
      <c r="AX797" s="35"/>
      <c r="AY797" s="36"/>
      <c r="BF797" s="35"/>
      <c r="BG797" s="35"/>
      <c r="BO797" s="35"/>
      <c r="BP797" s="35"/>
      <c r="BW797" s="36"/>
      <c r="BX797" s="36"/>
      <c r="BY797" s="36"/>
      <c r="BZ797" s="36"/>
      <c r="CY797" s="33"/>
    </row>
    <row r="798" spans="2:103" s="32" customFormat="1" x14ac:dyDescent="0.15">
      <c r="B798" s="33"/>
      <c r="E798" s="35"/>
      <c r="H798" s="33"/>
      <c r="N798" s="114"/>
      <c r="O798" s="34"/>
      <c r="P798" s="33"/>
      <c r="Q798" s="33"/>
      <c r="AA798" s="33"/>
      <c r="AB798" s="33"/>
      <c r="AC798" s="33"/>
      <c r="AD798" s="139"/>
      <c r="AE798" s="33"/>
      <c r="AL798" s="35"/>
      <c r="AV798" s="35"/>
      <c r="AW798" s="35"/>
      <c r="AX798" s="35"/>
      <c r="AY798" s="36"/>
      <c r="BF798" s="35"/>
      <c r="BG798" s="35"/>
      <c r="BO798" s="35"/>
      <c r="BP798" s="35"/>
      <c r="BW798" s="36"/>
      <c r="BX798" s="36"/>
      <c r="BY798" s="36"/>
      <c r="BZ798" s="36"/>
      <c r="CY798" s="33"/>
    </row>
    <row r="799" spans="2:103" s="32" customFormat="1" x14ac:dyDescent="0.15">
      <c r="B799" s="33"/>
      <c r="E799" s="35"/>
      <c r="H799" s="33"/>
      <c r="N799" s="114"/>
      <c r="O799" s="34"/>
      <c r="P799" s="33"/>
      <c r="Q799" s="33"/>
      <c r="AA799" s="33"/>
      <c r="AB799" s="33"/>
      <c r="AC799" s="33"/>
      <c r="AD799" s="139"/>
      <c r="AE799" s="33"/>
      <c r="AL799" s="35"/>
      <c r="AV799" s="35"/>
      <c r="AW799" s="35"/>
      <c r="AX799" s="35"/>
      <c r="AY799" s="36"/>
      <c r="BF799" s="35"/>
      <c r="BG799" s="35"/>
      <c r="BO799" s="35"/>
      <c r="BP799" s="35"/>
      <c r="BW799" s="36"/>
      <c r="BX799" s="36"/>
      <c r="BY799" s="36"/>
      <c r="BZ799" s="36"/>
      <c r="CY799" s="33"/>
    </row>
    <row r="800" spans="2:103" s="32" customFormat="1" x14ac:dyDescent="0.15">
      <c r="B800" s="33"/>
      <c r="E800" s="35"/>
      <c r="H800" s="33"/>
      <c r="N800" s="114"/>
      <c r="O800" s="34"/>
      <c r="P800" s="33"/>
      <c r="Q800" s="33"/>
      <c r="AA800" s="33"/>
      <c r="AB800" s="33"/>
      <c r="AC800" s="33"/>
      <c r="AD800" s="139"/>
      <c r="AE800" s="33"/>
      <c r="AL800" s="35"/>
      <c r="AV800" s="35"/>
      <c r="AW800" s="35"/>
      <c r="AX800" s="35"/>
      <c r="AY800" s="36"/>
      <c r="BF800" s="35"/>
      <c r="BG800" s="35"/>
      <c r="BO800" s="35"/>
      <c r="BP800" s="35"/>
      <c r="BW800" s="36"/>
      <c r="BX800" s="36"/>
      <c r="BY800" s="36"/>
      <c r="BZ800" s="36"/>
      <c r="CY800" s="33"/>
    </row>
    <row r="801" spans="2:103" s="32" customFormat="1" x14ac:dyDescent="0.15">
      <c r="B801" s="33"/>
      <c r="E801" s="35"/>
      <c r="H801" s="33"/>
      <c r="N801" s="114"/>
      <c r="O801" s="34"/>
      <c r="P801" s="33"/>
      <c r="Q801" s="33"/>
      <c r="AA801" s="33"/>
      <c r="AB801" s="33"/>
      <c r="AC801" s="33"/>
      <c r="AD801" s="139"/>
      <c r="AE801" s="33"/>
      <c r="AL801" s="35"/>
      <c r="AV801" s="35"/>
      <c r="AW801" s="35"/>
      <c r="AX801" s="35"/>
      <c r="AY801" s="36"/>
      <c r="BF801" s="35"/>
      <c r="BG801" s="35"/>
      <c r="BO801" s="35"/>
      <c r="BP801" s="35"/>
      <c r="BW801" s="36"/>
      <c r="BX801" s="36"/>
      <c r="BY801" s="36"/>
      <c r="BZ801" s="36"/>
      <c r="CY801" s="33"/>
    </row>
    <row r="802" spans="2:103" s="32" customFormat="1" x14ac:dyDescent="0.15">
      <c r="B802" s="33"/>
      <c r="E802" s="35"/>
      <c r="H802" s="33"/>
      <c r="N802" s="114"/>
      <c r="O802" s="34"/>
      <c r="P802" s="33"/>
      <c r="Q802" s="33"/>
      <c r="AA802" s="33"/>
      <c r="AB802" s="33"/>
      <c r="AC802" s="33"/>
      <c r="AD802" s="139"/>
      <c r="AE802" s="33"/>
      <c r="AL802" s="35"/>
      <c r="AV802" s="35"/>
      <c r="AW802" s="35"/>
      <c r="AX802" s="35"/>
      <c r="AY802" s="36"/>
      <c r="BF802" s="35"/>
      <c r="BG802" s="35"/>
      <c r="BO802" s="35"/>
      <c r="BP802" s="35"/>
      <c r="BW802" s="36"/>
      <c r="BX802" s="36"/>
      <c r="BY802" s="36"/>
      <c r="BZ802" s="36"/>
      <c r="CY802" s="33"/>
    </row>
    <row r="803" spans="2:103" s="32" customFormat="1" x14ac:dyDescent="0.15">
      <c r="B803" s="33"/>
      <c r="E803" s="35"/>
      <c r="H803" s="33"/>
      <c r="N803" s="114"/>
      <c r="O803" s="34"/>
      <c r="P803" s="33"/>
      <c r="Q803" s="33"/>
      <c r="AA803" s="33"/>
      <c r="AB803" s="33"/>
      <c r="AC803" s="33"/>
      <c r="AD803" s="139"/>
      <c r="AE803" s="33"/>
      <c r="AL803" s="35"/>
      <c r="AV803" s="35"/>
      <c r="AW803" s="35"/>
      <c r="AX803" s="35"/>
      <c r="AY803" s="36"/>
      <c r="BF803" s="35"/>
      <c r="BG803" s="35"/>
      <c r="BO803" s="35"/>
      <c r="BP803" s="35"/>
      <c r="BW803" s="36"/>
      <c r="BX803" s="36"/>
      <c r="BY803" s="36"/>
      <c r="BZ803" s="36"/>
      <c r="CY803" s="33"/>
    </row>
    <row r="804" spans="2:103" s="32" customFormat="1" x14ac:dyDescent="0.15">
      <c r="B804" s="33"/>
      <c r="E804" s="35"/>
      <c r="H804" s="33"/>
      <c r="N804" s="114"/>
      <c r="O804" s="34"/>
      <c r="P804" s="33"/>
      <c r="Q804" s="33"/>
      <c r="AA804" s="33"/>
      <c r="AB804" s="33"/>
      <c r="AC804" s="33"/>
      <c r="AD804" s="139"/>
      <c r="AE804" s="33"/>
      <c r="AL804" s="35"/>
      <c r="AV804" s="35"/>
      <c r="AW804" s="35"/>
      <c r="AX804" s="35"/>
      <c r="AY804" s="36"/>
      <c r="BF804" s="35"/>
      <c r="BG804" s="35"/>
      <c r="BO804" s="35"/>
      <c r="BP804" s="35"/>
      <c r="BW804" s="36"/>
      <c r="BX804" s="36"/>
      <c r="BY804" s="36"/>
      <c r="BZ804" s="36"/>
      <c r="CY804" s="33"/>
    </row>
    <row r="805" spans="2:103" s="32" customFormat="1" x14ac:dyDescent="0.15">
      <c r="B805" s="33"/>
      <c r="E805" s="35"/>
      <c r="H805" s="33"/>
      <c r="N805" s="114"/>
      <c r="O805" s="34"/>
      <c r="P805" s="33"/>
      <c r="Q805" s="33"/>
      <c r="AA805" s="33"/>
      <c r="AB805" s="33"/>
      <c r="AC805" s="33"/>
      <c r="AD805" s="139"/>
      <c r="AE805" s="33"/>
      <c r="AL805" s="35"/>
      <c r="AV805" s="35"/>
      <c r="AW805" s="35"/>
      <c r="AX805" s="35"/>
      <c r="AY805" s="36"/>
      <c r="BF805" s="35"/>
      <c r="BG805" s="35"/>
      <c r="BO805" s="35"/>
      <c r="BP805" s="35"/>
      <c r="BW805" s="36"/>
      <c r="BX805" s="36"/>
      <c r="BY805" s="36"/>
      <c r="BZ805" s="36"/>
      <c r="CY805" s="33"/>
    </row>
    <row r="806" spans="2:103" s="32" customFormat="1" x14ac:dyDescent="0.15">
      <c r="B806" s="33"/>
      <c r="E806" s="35"/>
      <c r="H806" s="33"/>
      <c r="N806" s="114"/>
      <c r="O806" s="34"/>
      <c r="P806" s="33"/>
      <c r="Q806" s="33"/>
      <c r="AA806" s="33"/>
      <c r="AB806" s="33"/>
      <c r="AC806" s="33"/>
      <c r="AD806" s="139"/>
      <c r="AE806" s="33"/>
      <c r="AL806" s="35"/>
      <c r="AV806" s="35"/>
      <c r="AW806" s="35"/>
      <c r="AX806" s="35"/>
      <c r="AY806" s="36"/>
      <c r="BF806" s="35"/>
      <c r="BG806" s="35"/>
      <c r="BO806" s="35"/>
      <c r="BP806" s="35"/>
      <c r="BW806" s="36"/>
      <c r="BX806" s="36"/>
      <c r="BY806" s="36"/>
      <c r="BZ806" s="36"/>
      <c r="CY806" s="33"/>
    </row>
    <row r="807" spans="2:103" s="32" customFormat="1" x14ac:dyDescent="0.15">
      <c r="B807" s="33"/>
      <c r="E807" s="35"/>
      <c r="H807" s="33"/>
      <c r="N807" s="114"/>
      <c r="O807" s="34"/>
      <c r="P807" s="33"/>
      <c r="Q807" s="33"/>
      <c r="AA807" s="33"/>
      <c r="AB807" s="33"/>
      <c r="AC807" s="33"/>
      <c r="AD807" s="139"/>
      <c r="AE807" s="33"/>
      <c r="AL807" s="35"/>
      <c r="AV807" s="35"/>
      <c r="AW807" s="35"/>
      <c r="AX807" s="35"/>
      <c r="AY807" s="36"/>
      <c r="BF807" s="35"/>
      <c r="BG807" s="35"/>
      <c r="BO807" s="35"/>
      <c r="BP807" s="35"/>
      <c r="BW807" s="36"/>
      <c r="BX807" s="36"/>
      <c r="BY807" s="36"/>
      <c r="BZ807" s="36"/>
      <c r="CY807" s="33"/>
    </row>
    <row r="808" spans="2:103" s="32" customFormat="1" x14ac:dyDescent="0.15">
      <c r="B808" s="33"/>
      <c r="E808" s="35"/>
      <c r="H808" s="33"/>
      <c r="N808" s="114"/>
      <c r="O808" s="34"/>
      <c r="P808" s="33"/>
      <c r="Q808" s="33"/>
      <c r="AA808" s="33"/>
      <c r="AB808" s="33"/>
      <c r="AC808" s="33"/>
      <c r="AD808" s="139"/>
      <c r="AE808" s="33"/>
      <c r="AL808" s="35"/>
      <c r="AV808" s="35"/>
      <c r="AW808" s="35"/>
      <c r="AX808" s="35"/>
      <c r="AY808" s="36"/>
      <c r="BF808" s="35"/>
      <c r="BG808" s="35"/>
      <c r="BO808" s="35"/>
      <c r="BP808" s="35"/>
      <c r="BW808" s="36"/>
      <c r="BX808" s="36"/>
      <c r="BY808" s="36"/>
      <c r="BZ808" s="36"/>
      <c r="CY808" s="33"/>
    </row>
    <row r="809" spans="2:103" s="32" customFormat="1" x14ac:dyDescent="0.15">
      <c r="B809" s="33"/>
      <c r="E809" s="35"/>
      <c r="H809" s="33"/>
      <c r="N809" s="114"/>
      <c r="O809" s="34"/>
      <c r="P809" s="33"/>
      <c r="Q809" s="33"/>
      <c r="AA809" s="33"/>
      <c r="AB809" s="33"/>
      <c r="AC809" s="33"/>
      <c r="AD809" s="139"/>
      <c r="AE809" s="33"/>
      <c r="AL809" s="35"/>
      <c r="AV809" s="35"/>
      <c r="AW809" s="35"/>
      <c r="AX809" s="35"/>
      <c r="AY809" s="36"/>
      <c r="BF809" s="35"/>
      <c r="BG809" s="35"/>
      <c r="BO809" s="35"/>
      <c r="BP809" s="35"/>
      <c r="BW809" s="36"/>
      <c r="BX809" s="36"/>
      <c r="BY809" s="36"/>
      <c r="BZ809" s="36"/>
      <c r="CY809" s="33"/>
    </row>
    <row r="810" spans="2:103" s="32" customFormat="1" x14ac:dyDescent="0.15">
      <c r="B810" s="33"/>
      <c r="E810" s="35"/>
      <c r="H810" s="33"/>
      <c r="N810" s="114"/>
      <c r="O810" s="34"/>
      <c r="P810" s="33"/>
      <c r="Q810" s="33"/>
      <c r="AA810" s="33"/>
      <c r="AB810" s="33"/>
      <c r="AC810" s="33"/>
      <c r="AD810" s="139"/>
      <c r="AE810" s="33"/>
      <c r="AL810" s="35"/>
      <c r="AV810" s="35"/>
      <c r="AW810" s="35"/>
      <c r="AX810" s="35"/>
      <c r="AY810" s="36"/>
      <c r="BF810" s="35"/>
      <c r="BG810" s="35"/>
      <c r="BO810" s="35"/>
      <c r="BP810" s="35"/>
      <c r="BW810" s="36"/>
      <c r="BX810" s="36"/>
      <c r="BY810" s="36"/>
      <c r="BZ810" s="36"/>
      <c r="CY810" s="33"/>
    </row>
    <row r="811" spans="2:103" s="32" customFormat="1" x14ac:dyDescent="0.15">
      <c r="B811" s="33"/>
      <c r="E811" s="35"/>
      <c r="H811" s="33"/>
      <c r="N811" s="114"/>
      <c r="O811" s="34"/>
      <c r="P811" s="33"/>
      <c r="Q811" s="33"/>
      <c r="AA811" s="33"/>
      <c r="AB811" s="33"/>
      <c r="AC811" s="33"/>
      <c r="AD811" s="139"/>
      <c r="AE811" s="33"/>
      <c r="AL811" s="35"/>
      <c r="AV811" s="35"/>
      <c r="AW811" s="35"/>
      <c r="AX811" s="35"/>
      <c r="AY811" s="36"/>
      <c r="BF811" s="35"/>
      <c r="BG811" s="35"/>
      <c r="BO811" s="35"/>
      <c r="BP811" s="35"/>
      <c r="BW811" s="36"/>
      <c r="BX811" s="36"/>
      <c r="BY811" s="36"/>
      <c r="BZ811" s="36"/>
      <c r="CY811" s="33"/>
    </row>
    <row r="812" spans="2:103" s="32" customFormat="1" x14ac:dyDescent="0.15">
      <c r="B812" s="33"/>
      <c r="E812" s="35"/>
      <c r="H812" s="33"/>
      <c r="N812" s="114"/>
      <c r="O812" s="34"/>
      <c r="P812" s="33"/>
      <c r="Q812" s="33"/>
      <c r="AA812" s="33"/>
      <c r="AB812" s="33"/>
      <c r="AC812" s="33"/>
      <c r="AD812" s="139"/>
      <c r="AE812" s="33"/>
      <c r="AL812" s="35"/>
      <c r="AV812" s="35"/>
      <c r="AW812" s="35"/>
      <c r="AX812" s="35"/>
      <c r="AY812" s="36"/>
      <c r="BF812" s="35"/>
      <c r="BG812" s="35"/>
      <c r="BO812" s="35"/>
      <c r="BP812" s="35"/>
      <c r="BW812" s="36"/>
      <c r="BX812" s="36"/>
      <c r="BY812" s="36"/>
      <c r="BZ812" s="36"/>
      <c r="CY812" s="33"/>
    </row>
    <row r="813" spans="2:103" s="32" customFormat="1" x14ac:dyDescent="0.15">
      <c r="B813" s="33"/>
      <c r="E813" s="35"/>
      <c r="H813" s="33"/>
      <c r="N813" s="114"/>
      <c r="O813" s="34"/>
      <c r="P813" s="33"/>
      <c r="Q813" s="33"/>
      <c r="AA813" s="33"/>
      <c r="AB813" s="33"/>
      <c r="AC813" s="33"/>
      <c r="AD813" s="139"/>
      <c r="AE813" s="33"/>
      <c r="AL813" s="35"/>
      <c r="AV813" s="35"/>
      <c r="AW813" s="35"/>
      <c r="AX813" s="35"/>
      <c r="AY813" s="36"/>
      <c r="BF813" s="35"/>
      <c r="BG813" s="35"/>
      <c r="BO813" s="35"/>
      <c r="BP813" s="35"/>
      <c r="BW813" s="36"/>
      <c r="BX813" s="36"/>
      <c r="BY813" s="36"/>
      <c r="BZ813" s="36"/>
      <c r="CY813" s="33"/>
    </row>
    <row r="814" spans="2:103" s="32" customFormat="1" x14ac:dyDescent="0.15">
      <c r="B814" s="33"/>
      <c r="E814" s="35"/>
      <c r="H814" s="33"/>
      <c r="N814" s="114"/>
      <c r="O814" s="34"/>
      <c r="P814" s="33"/>
      <c r="Q814" s="33"/>
      <c r="AA814" s="33"/>
      <c r="AB814" s="33"/>
      <c r="AC814" s="33"/>
      <c r="AD814" s="139"/>
      <c r="AE814" s="33"/>
      <c r="AL814" s="35"/>
      <c r="AV814" s="35"/>
      <c r="AW814" s="35"/>
      <c r="AX814" s="35"/>
      <c r="AY814" s="36"/>
      <c r="BF814" s="35"/>
      <c r="BG814" s="35"/>
      <c r="BO814" s="35"/>
      <c r="BP814" s="35"/>
      <c r="BW814" s="36"/>
      <c r="BX814" s="36"/>
      <c r="BY814" s="36"/>
      <c r="BZ814" s="36"/>
      <c r="CY814" s="33"/>
    </row>
    <row r="815" spans="2:103" s="32" customFormat="1" x14ac:dyDescent="0.15">
      <c r="B815" s="33"/>
      <c r="E815" s="35"/>
      <c r="H815" s="33"/>
      <c r="N815" s="114"/>
      <c r="O815" s="34"/>
      <c r="P815" s="33"/>
      <c r="Q815" s="33"/>
      <c r="AA815" s="33"/>
      <c r="AB815" s="33"/>
      <c r="AC815" s="33"/>
      <c r="AD815" s="139"/>
      <c r="AE815" s="33"/>
      <c r="AL815" s="35"/>
      <c r="AV815" s="35"/>
      <c r="AW815" s="35"/>
      <c r="AX815" s="35"/>
      <c r="AY815" s="36"/>
      <c r="BF815" s="35"/>
      <c r="BG815" s="35"/>
      <c r="BO815" s="35"/>
      <c r="BP815" s="35"/>
      <c r="BW815" s="36"/>
      <c r="BX815" s="36"/>
      <c r="BY815" s="36"/>
      <c r="BZ815" s="36"/>
      <c r="CY815" s="33"/>
    </row>
    <row r="816" spans="2:103" s="32" customFormat="1" x14ac:dyDescent="0.15">
      <c r="B816" s="33"/>
      <c r="E816" s="35"/>
      <c r="H816" s="33"/>
      <c r="N816" s="114"/>
      <c r="O816" s="34"/>
      <c r="P816" s="33"/>
      <c r="Q816" s="33"/>
      <c r="AA816" s="33"/>
      <c r="AB816" s="33"/>
      <c r="AC816" s="33"/>
      <c r="AD816" s="139"/>
      <c r="AE816" s="33"/>
      <c r="AL816" s="35"/>
      <c r="AV816" s="35"/>
      <c r="AW816" s="35"/>
      <c r="AX816" s="35"/>
      <c r="AY816" s="36"/>
      <c r="BF816" s="35"/>
      <c r="BG816" s="35"/>
      <c r="BO816" s="35"/>
      <c r="BP816" s="35"/>
      <c r="BW816" s="36"/>
      <c r="BX816" s="36"/>
      <c r="BY816" s="36"/>
      <c r="BZ816" s="36"/>
      <c r="CY816" s="33"/>
    </row>
    <row r="817" spans="2:103" s="32" customFormat="1" x14ac:dyDescent="0.15">
      <c r="B817" s="33"/>
      <c r="E817" s="35"/>
      <c r="H817" s="33"/>
      <c r="N817" s="114"/>
      <c r="O817" s="34"/>
      <c r="P817" s="33"/>
      <c r="Q817" s="33"/>
      <c r="AA817" s="33"/>
      <c r="AB817" s="33"/>
      <c r="AC817" s="33"/>
      <c r="AD817" s="139"/>
      <c r="AE817" s="33"/>
      <c r="AL817" s="35"/>
      <c r="AV817" s="35"/>
      <c r="AW817" s="35"/>
      <c r="AX817" s="35"/>
      <c r="AY817" s="36"/>
      <c r="BF817" s="35"/>
      <c r="BG817" s="35"/>
      <c r="BO817" s="35"/>
      <c r="BP817" s="35"/>
      <c r="BW817" s="36"/>
      <c r="BX817" s="36"/>
      <c r="BY817" s="36"/>
      <c r="BZ817" s="36"/>
      <c r="CY817" s="33"/>
    </row>
    <row r="818" spans="2:103" s="32" customFormat="1" x14ac:dyDescent="0.15">
      <c r="B818" s="33"/>
      <c r="E818" s="35"/>
      <c r="H818" s="33"/>
      <c r="N818" s="114"/>
      <c r="O818" s="34"/>
      <c r="P818" s="33"/>
      <c r="Q818" s="33"/>
      <c r="AA818" s="33"/>
      <c r="AB818" s="33"/>
      <c r="AC818" s="33"/>
      <c r="AD818" s="139"/>
      <c r="AE818" s="33"/>
      <c r="AL818" s="35"/>
      <c r="AV818" s="35"/>
      <c r="AW818" s="35"/>
      <c r="AX818" s="35"/>
      <c r="AY818" s="36"/>
      <c r="BF818" s="35"/>
      <c r="BG818" s="35"/>
      <c r="BO818" s="35"/>
      <c r="BP818" s="35"/>
      <c r="BW818" s="36"/>
      <c r="BX818" s="36"/>
      <c r="BY818" s="36"/>
      <c r="BZ818" s="36"/>
      <c r="CY818" s="33"/>
    </row>
    <row r="819" spans="2:103" s="32" customFormat="1" x14ac:dyDescent="0.15">
      <c r="B819" s="33"/>
      <c r="E819" s="35"/>
      <c r="H819" s="33"/>
      <c r="N819" s="114"/>
      <c r="O819" s="34"/>
      <c r="P819" s="33"/>
      <c r="Q819" s="33"/>
      <c r="AA819" s="33"/>
      <c r="AB819" s="33"/>
      <c r="AC819" s="33"/>
      <c r="AD819" s="139"/>
      <c r="AE819" s="33"/>
      <c r="AL819" s="35"/>
      <c r="AV819" s="35"/>
      <c r="AW819" s="35"/>
      <c r="AX819" s="35"/>
      <c r="AY819" s="36"/>
      <c r="BF819" s="35"/>
      <c r="BG819" s="35"/>
      <c r="BO819" s="35"/>
      <c r="BP819" s="35"/>
      <c r="BW819" s="36"/>
      <c r="BX819" s="36"/>
      <c r="BY819" s="36"/>
      <c r="BZ819" s="36"/>
      <c r="CY819" s="33"/>
    </row>
    <row r="820" spans="2:103" s="32" customFormat="1" x14ac:dyDescent="0.15">
      <c r="B820" s="33"/>
      <c r="E820" s="35"/>
      <c r="H820" s="33"/>
      <c r="N820" s="114"/>
      <c r="O820" s="34"/>
      <c r="P820" s="33"/>
      <c r="Q820" s="33"/>
      <c r="AA820" s="33"/>
      <c r="AB820" s="33"/>
      <c r="AC820" s="33"/>
      <c r="AD820" s="139"/>
      <c r="AE820" s="33"/>
      <c r="AL820" s="35"/>
      <c r="AV820" s="35"/>
      <c r="AW820" s="35"/>
      <c r="AX820" s="35"/>
      <c r="AY820" s="36"/>
      <c r="BF820" s="35"/>
      <c r="BG820" s="35"/>
      <c r="BO820" s="35"/>
      <c r="BP820" s="35"/>
      <c r="BW820" s="36"/>
      <c r="BX820" s="36"/>
      <c r="BY820" s="36"/>
      <c r="BZ820" s="36"/>
      <c r="CY820" s="33"/>
    </row>
    <row r="821" spans="2:103" s="32" customFormat="1" x14ac:dyDescent="0.15">
      <c r="B821" s="33"/>
      <c r="E821" s="35"/>
      <c r="H821" s="33"/>
      <c r="N821" s="114"/>
      <c r="O821" s="34"/>
      <c r="P821" s="33"/>
      <c r="Q821" s="33"/>
      <c r="AA821" s="33"/>
      <c r="AB821" s="33"/>
      <c r="AC821" s="33"/>
      <c r="AD821" s="139"/>
      <c r="AE821" s="33"/>
      <c r="AL821" s="35"/>
      <c r="AV821" s="35"/>
      <c r="AW821" s="35"/>
      <c r="AX821" s="35"/>
      <c r="AY821" s="36"/>
      <c r="BF821" s="35"/>
      <c r="BG821" s="35"/>
      <c r="BO821" s="35"/>
      <c r="BP821" s="35"/>
      <c r="BW821" s="36"/>
      <c r="BX821" s="36"/>
      <c r="BY821" s="36"/>
      <c r="BZ821" s="36"/>
      <c r="CY821" s="33"/>
    </row>
    <row r="822" spans="2:103" s="32" customFormat="1" x14ac:dyDescent="0.15">
      <c r="B822" s="33"/>
      <c r="E822" s="35"/>
      <c r="H822" s="33"/>
      <c r="N822" s="114"/>
      <c r="O822" s="34"/>
      <c r="P822" s="33"/>
      <c r="Q822" s="33"/>
      <c r="AA822" s="33"/>
      <c r="AB822" s="33"/>
      <c r="AC822" s="33"/>
      <c r="AD822" s="139"/>
      <c r="AE822" s="33"/>
      <c r="AL822" s="35"/>
      <c r="AV822" s="35"/>
      <c r="AW822" s="35"/>
      <c r="AX822" s="35"/>
      <c r="AY822" s="36"/>
      <c r="BF822" s="35"/>
      <c r="BG822" s="35"/>
      <c r="BO822" s="35"/>
      <c r="BP822" s="35"/>
      <c r="BW822" s="36"/>
      <c r="BX822" s="36"/>
      <c r="BY822" s="36"/>
      <c r="BZ822" s="36"/>
      <c r="CY822" s="33"/>
    </row>
    <row r="823" spans="2:103" s="32" customFormat="1" x14ac:dyDescent="0.15">
      <c r="B823" s="33"/>
      <c r="E823" s="35"/>
      <c r="H823" s="33"/>
      <c r="N823" s="114"/>
      <c r="O823" s="34"/>
      <c r="P823" s="33"/>
      <c r="Q823" s="33"/>
      <c r="AA823" s="33"/>
      <c r="AB823" s="33"/>
      <c r="AC823" s="33"/>
      <c r="AD823" s="139"/>
      <c r="AE823" s="33"/>
      <c r="AL823" s="35"/>
      <c r="AV823" s="35"/>
      <c r="AW823" s="35"/>
      <c r="AX823" s="35"/>
      <c r="AY823" s="36"/>
      <c r="BF823" s="35"/>
      <c r="BG823" s="35"/>
      <c r="BO823" s="35"/>
      <c r="BP823" s="35"/>
      <c r="BW823" s="36"/>
      <c r="BX823" s="36"/>
      <c r="BY823" s="36"/>
      <c r="BZ823" s="36"/>
      <c r="CY823" s="33"/>
    </row>
    <row r="824" spans="2:103" s="32" customFormat="1" x14ac:dyDescent="0.15">
      <c r="B824" s="33"/>
      <c r="E824" s="35"/>
      <c r="H824" s="33"/>
      <c r="N824" s="114"/>
      <c r="O824" s="34"/>
      <c r="P824" s="33"/>
      <c r="Q824" s="33"/>
      <c r="AA824" s="33"/>
      <c r="AB824" s="33"/>
      <c r="AC824" s="33"/>
      <c r="AD824" s="139"/>
      <c r="AE824" s="33"/>
      <c r="AL824" s="35"/>
      <c r="AV824" s="35"/>
      <c r="AW824" s="35"/>
      <c r="AX824" s="35"/>
      <c r="AY824" s="36"/>
      <c r="BF824" s="35"/>
      <c r="BG824" s="35"/>
      <c r="BO824" s="35"/>
      <c r="BP824" s="35"/>
      <c r="BW824" s="36"/>
      <c r="BX824" s="36"/>
      <c r="BY824" s="36"/>
      <c r="BZ824" s="36"/>
      <c r="CY824" s="33"/>
    </row>
    <row r="825" spans="2:103" s="32" customFormat="1" x14ac:dyDescent="0.15">
      <c r="B825" s="33"/>
      <c r="E825" s="35"/>
      <c r="H825" s="33"/>
      <c r="N825" s="114"/>
      <c r="O825" s="34"/>
      <c r="P825" s="33"/>
      <c r="Q825" s="33"/>
      <c r="AA825" s="33"/>
      <c r="AB825" s="33"/>
      <c r="AC825" s="33"/>
      <c r="AD825" s="139"/>
      <c r="AE825" s="33"/>
      <c r="AL825" s="35"/>
      <c r="AV825" s="35"/>
      <c r="AW825" s="35"/>
      <c r="AX825" s="35"/>
      <c r="AY825" s="36"/>
      <c r="BF825" s="35"/>
      <c r="BG825" s="35"/>
      <c r="BO825" s="35"/>
      <c r="BP825" s="35"/>
      <c r="BW825" s="36"/>
      <c r="BX825" s="36"/>
      <c r="BY825" s="36"/>
      <c r="BZ825" s="36"/>
      <c r="CY825" s="33"/>
    </row>
    <row r="826" spans="2:103" s="32" customFormat="1" x14ac:dyDescent="0.15">
      <c r="B826" s="33"/>
      <c r="E826" s="35"/>
      <c r="H826" s="33"/>
      <c r="N826" s="114"/>
      <c r="O826" s="34"/>
      <c r="P826" s="33"/>
      <c r="Q826" s="33"/>
      <c r="AA826" s="33"/>
      <c r="AB826" s="33"/>
      <c r="AC826" s="33"/>
      <c r="AD826" s="139"/>
      <c r="AE826" s="33"/>
      <c r="AL826" s="35"/>
      <c r="AV826" s="35"/>
      <c r="AW826" s="35"/>
      <c r="AX826" s="35"/>
      <c r="AY826" s="36"/>
      <c r="BF826" s="35"/>
      <c r="BG826" s="35"/>
      <c r="BO826" s="35"/>
      <c r="BP826" s="35"/>
      <c r="BW826" s="36"/>
      <c r="BX826" s="36"/>
      <c r="BY826" s="36"/>
      <c r="BZ826" s="36"/>
      <c r="CY826" s="33"/>
    </row>
    <row r="827" spans="2:103" s="32" customFormat="1" x14ac:dyDescent="0.15">
      <c r="B827" s="33"/>
      <c r="E827" s="35"/>
      <c r="H827" s="33"/>
      <c r="N827" s="114"/>
      <c r="O827" s="34"/>
      <c r="P827" s="33"/>
      <c r="Q827" s="33"/>
      <c r="AA827" s="33"/>
      <c r="AB827" s="33"/>
      <c r="AC827" s="33"/>
      <c r="AD827" s="139"/>
      <c r="AE827" s="33"/>
      <c r="AL827" s="35"/>
      <c r="AV827" s="35"/>
      <c r="AW827" s="35"/>
      <c r="AX827" s="35"/>
      <c r="AY827" s="36"/>
      <c r="BF827" s="35"/>
      <c r="BG827" s="35"/>
      <c r="BO827" s="35"/>
      <c r="BP827" s="35"/>
      <c r="BW827" s="36"/>
      <c r="BX827" s="36"/>
      <c r="BY827" s="36"/>
      <c r="BZ827" s="36"/>
      <c r="CY827" s="33"/>
    </row>
    <row r="828" spans="2:103" s="32" customFormat="1" x14ac:dyDescent="0.15">
      <c r="B828" s="33"/>
      <c r="E828" s="35"/>
      <c r="H828" s="33"/>
      <c r="N828" s="114"/>
      <c r="O828" s="34"/>
      <c r="P828" s="33"/>
      <c r="Q828" s="33"/>
      <c r="AA828" s="33"/>
      <c r="AB828" s="33"/>
      <c r="AC828" s="33"/>
      <c r="AD828" s="139"/>
      <c r="AE828" s="33"/>
      <c r="AL828" s="35"/>
      <c r="AV828" s="35"/>
      <c r="AW828" s="35"/>
      <c r="AX828" s="35"/>
      <c r="AY828" s="36"/>
      <c r="BF828" s="35"/>
      <c r="BG828" s="35"/>
      <c r="BO828" s="35"/>
      <c r="BP828" s="35"/>
      <c r="BW828" s="36"/>
      <c r="BX828" s="36"/>
      <c r="BY828" s="36"/>
      <c r="BZ828" s="36"/>
      <c r="CY828" s="33"/>
    </row>
    <row r="829" spans="2:103" s="32" customFormat="1" x14ac:dyDescent="0.15">
      <c r="B829" s="33"/>
      <c r="E829" s="35"/>
      <c r="H829" s="33"/>
      <c r="N829" s="114"/>
      <c r="O829" s="34"/>
      <c r="P829" s="33"/>
      <c r="Q829" s="33"/>
      <c r="AA829" s="33"/>
      <c r="AB829" s="33"/>
      <c r="AC829" s="33"/>
      <c r="AD829" s="139"/>
      <c r="AE829" s="33"/>
      <c r="AL829" s="35"/>
      <c r="AV829" s="35"/>
      <c r="AW829" s="35"/>
      <c r="AX829" s="35"/>
      <c r="AY829" s="36"/>
      <c r="BF829" s="35"/>
      <c r="BG829" s="35"/>
      <c r="BO829" s="35"/>
      <c r="BP829" s="35"/>
      <c r="BW829" s="36"/>
      <c r="BX829" s="36"/>
      <c r="BY829" s="36"/>
      <c r="BZ829" s="36"/>
      <c r="CY829" s="33"/>
    </row>
    <row r="830" spans="2:103" s="32" customFormat="1" x14ac:dyDescent="0.15">
      <c r="B830" s="33"/>
      <c r="E830" s="35"/>
      <c r="H830" s="33"/>
      <c r="N830" s="114"/>
      <c r="O830" s="34"/>
      <c r="P830" s="33"/>
      <c r="Q830" s="33"/>
      <c r="AA830" s="33"/>
      <c r="AB830" s="33"/>
      <c r="AC830" s="33"/>
      <c r="AD830" s="139"/>
      <c r="AE830" s="33"/>
      <c r="AL830" s="35"/>
      <c r="AV830" s="35"/>
      <c r="AW830" s="35"/>
      <c r="AX830" s="35"/>
      <c r="AY830" s="36"/>
      <c r="BF830" s="35"/>
      <c r="BG830" s="35"/>
      <c r="BO830" s="35"/>
      <c r="BP830" s="35"/>
      <c r="BW830" s="36"/>
      <c r="BX830" s="36"/>
      <c r="BY830" s="36"/>
      <c r="BZ830" s="36"/>
      <c r="CY830" s="33"/>
    </row>
    <row r="831" spans="2:103" s="32" customFormat="1" x14ac:dyDescent="0.15">
      <c r="B831" s="33"/>
      <c r="E831" s="35"/>
      <c r="H831" s="33"/>
      <c r="N831" s="114"/>
      <c r="O831" s="34"/>
      <c r="P831" s="33"/>
      <c r="Q831" s="33"/>
      <c r="AA831" s="33"/>
      <c r="AB831" s="33"/>
      <c r="AC831" s="33"/>
      <c r="AD831" s="139"/>
      <c r="AE831" s="33"/>
      <c r="AL831" s="35"/>
      <c r="AV831" s="35"/>
      <c r="AW831" s="35"/>
      <c r="AX831" s="35"/>
      <c r="AY831" s="36"/>
      <c r="BF831" s="35"/>
      <c r="BG831" s="35"/>
      <c r="BO831" s="35"/>
      <c r="BP831" s="35"/>
      <c r="BW831" s="36"/>
      <c r="BX831" s="36"/>
      <c r="BY831" s="36"/>
      <c r="BZ831" s="36"/>
      <c r="CY831" s="33"/>
    </row>
    <row r="832" spans="2:103" s="32" customFormat="1" x14ac:dyDescent="0.15">
      <c r="B832" s="33"/>
      <c r="E832" s="35"/>
      <c r="H832" s="33"/>
      <c r="N832" s="114"/>
      <c r="O832" s="34"/>
      <c r="P832" s="33"/>
      <c r="Q832" s="33"/>
      <c r="AA832" s="33"/>
      <c r="AB832" s="33"/>
      <c r="AC832" s="33"/>
      <c r="AD832" s="139"/>
      <c r="AE832" s="33"/>
      <c r="AL832" s="35"/>
      <c r="AV832" s="35"/>
      <c r="AW832" s="35"/>
      <c r="AX832" s="35"/>
      <c r="AY832" s="36"/>
      <c r="BF832" s="35"/>
      <c r="BG832" s="35"/>
      <c r="BO832" s="35"/>
      <c r="BP832" s="35"/>
      <c r="BW832" s="36"/>
      <c r="BX832" s="36"/>
      <c r="BY832" s="36"/>
      <c r="BZ832" s="36"/>
      <c r="CY832" s="33"/>
    </row>
    <row r="833" spans="2:103" s="32" customFormat="1" x14ac:dyDescent="0.15">
      <c r="B833" s="33"/>
      <c r="E833" s="35"/>
      <c r="H833" s="33"/>
      <c r="N833" s="114"/>
      <c r="O833" s="34"/>
      <c r="P833" s="33"/>
      <c r="Q833" s="33"/>
      <c r="AA833" s="33"/>
      <c r="AB833" s="33"/>
      <c r="AC833" s="33"/>
      <c r="AD833" s="139"/>
      <c r="AE833" s="33"/>
      <c r="AL833" s="35"/>
      <c r="AV833" s="35"/>
      <c r="AW833" s="35"/>
      <c r="AX833" s="35"/>
      <c r="AY833" s="36"/>
      <c r="BF833" s="35"/>
      <c r="BG833" s="35"/>
      <c r="BO833" s="35"/>
      <c r="BP833" s="35"/>
      <c r="BW833" s="36"/>
      <c r="BX833" s="36"/>
      <c r="BY833" s="36"/>
      <c r="BZ833" s="36"/>
      <c r="CY833" s="33"/>
    </row>
    <row r="834" spans="2:103" s="32" customFormat="1" x14ac:dyDescent="0.15">
      <c r="B834" s="33"/>
      <c r="E834" s="35"/>
      <c r="H834" s="33"/>
      <c r="N834" s="114"/>
      <c r="O834" s="34"/>
      <c r="P834" s="33"/>
      <c r="Q834" s="33"/>
      <c r="AA834" s="33"/>
      <c r="AB834" s="33"/>
      <c r="AC834" s="33"/>
      <c r="AD834" s="139"/>
      <c r="AE834" s="33"/>
      <c r="AL834" s="35"/>
      <c r="AV834" s="35"/>
      <c r="AW834" s="35"/>
      <c r="AX834" s="35"/>
      <c r="AY834" s="36"/>
      <c r="BF834" s="35"/>
      <c r="BG834" s="35"/>
      <c r="BO834" s="35"/>
      <c r="BP834" s="35"/>
      <c r="BW834" s="36"/>
      <c r="BX834" s="36"/>
      <c r="BY834" s="36"/>
      <c r="BZ834" s="36"/>
      <c r="CY834" s="33"/>
    </row>
    <row r="835" spans="2:103" s="32" customFormat="1" x14ac:dyDescent="0.15">
      <c r="B835" s="33"/>
      <c r="E835" s="35"/>
      <c r="H835" s="33"/>
      <c r="N835" s="114"/>
      <c r="O835" s="34"/>
      <c r="P835" s="33"/>
      <c r="Q835" s="33"/>
      <c r="AA835" s="33"/>
      <c r="AB835" s="33"/>
      <c r="AC835" s="33"/>
      <c r="AD835" s="139"/>
      <c r="AE835" s="33"/>
      <c r="AL835" s="35"/>
      <c r="AV835" s="35"/>
      <c r="AW835" s="35"/>
      <c r="AX835" s="35"/>
      <c r="AY835" s="36"/>
      <c r="BF835" s="35"/>
      <c r="BG835" s="35"/>
      <c r="BO835" s="35"/>
      <c r="BP835" s="35"/>
      <c r="BW835" s="36"/>
      <c r="BX835" s="36"/>
      <c r="BY835" s="36"/>
      <c r="BZ835" s="36"/>
      <c r="CY835" s="33"/>
    </row>
    <row r="836" spans="2:103" s="32" customFormat="1" x14ac:dyDescent="0.15">
      <c r="B836" s="33"/>
      <c r="E836" s="35"/>
      <c r="H836" s="33"/>
      <c r="N836" s="114"/>
      <c r="O836" s="34"/>
      <c r="P836" s="33"/>
      <c r="Q836" s="33"/>
      <c r="AA836" s="33"/>
      <c r="AB836" s="33"/>
      <c r="AC836" s="33"/>
      <c r="AD836" s="139"/>
      <c r="AE836" s="33"/>
      <c r="AL836" s="35"/>
      <c r="AV836" s="35"/>
      <c r="AW836" s="35"/>
      <c r="AX836" s="35"/>
      <c r="AY836" s="36"/>
      <c r="BF836" s="35"/>
      <c r="BG836" s="35"/>
      <c r="BO836" s="35"/>
      <c r="BP836" s="35"/>
      <c r="BW836" s="36"/>
      <c r="BX836" s="36"/>
      <c r="BY836" s="36"/>
      <c r="BZ836" s="36"/>
      <c r="CY836" s="33"/>
    </row>
    <row r="837" spans="2:103" s="32" customFormat="1" x14ac:dyDescent="0.15">
      <c r="B837" s="33"/>
      <c r="E837" s="35"/>
      <c r="H837" s="33"/>
      <c r="N837" s="114"/>
      <c r="O837" s="34"/>
      <c r="P837" s="33"/>
      <c r="Q837" s="33"/>
      <c r="AA837" s="33"/>
      <c r="AB837" s="33"/>
      <c r="AC837" s="33"/>
      <c r="AD837" s="139"/>
      <c r="AE837" s="33"/>
      <c r="AL837" s="35"/>
      <c r="AV837" s="35"/>
      <c r="AW837" s="35"/>
      <c r="AX837" s="35"/>
      <c r="AY837" s="36"/>
      <c r="BF837" s="35"/>
      <c r="BG837" s="35"/>
      <c r="BO837" s="35"/>
      <c r="BP837" s="35"/>
      <c r="BW837" s="36"/>
      <c r="BX837" s="36"/>
      <c r="BY837" s="36"/>
      <c r="BZ837" s="36"/>
      <c r="CY837" s="33"/>
    </row>
    <row r="838" spans="2:103" s="32" customFormat="1" x14ac:dyDescent="0.15">
      <c r="B838" s="33"/>
      <c r="E838" s="35"/>
      <c r="H838" s="33"/>
      <c r="N838" s="114"/>
      <c r="O838" s="34"/>
      <c r="P838" s="33"/>
      <c r="Q838" s="33"/>
      <c r="AA838" s="33"/>
      <c r="AB838" s="33"/>
      <c r="AC838" s="33"/>
      <c r="AD838" s="139"/>
      <c r="AE838" s="33"/>
      <c r="AL838" s="35"/>
      <c r="AV838" s="35"/>
      <c r="AW838" s="35"/>
      <c r="AX838" s="35"/>
      <c r="AY838" s="36"/>
      <c r="BF838" s="35"/>
      <c r="BG838" s="35"/>
      <c r="BO838" s="35"/>
      <c r="BP838" s="35"/>
      <c r="BW838" s="36"/>
      <c r="BX838" s="36"/>
      <c r="BY838" s="36"/>
      <c r="BZ838" s="36"/>
      <c r="CY838" s="33"/>
    </row>
    <row r="839" spans="2:103" s="32" customFormat="1" x14ac:dyDescent="0.15">
      <c r="B839" s="33"/>
      <c r="E839" s="35"/>
      <c r="H839" s="33"/>
      <c r="N839" s="114"/>
      <c r="O839" s="34"/>
      <c r="P839" s="33"/>
      <c r="Q839" s="33"/>
      <c r="AA839" s="33"/>
      <c r="AB839" s="33"/>
      <c r="AC839" s="33"/>
      <c r="AD839" s="139"/>
      <c r="AE839" s="33"/>
      <c r="AL839" s="35"/>
      <c r="AV839" s="35"/>
      <c r="AW839" s="35"/>
      <c r="AX839" s="35"/>
      <c r="AY839" s="36"/>
      <c r="BF839" s="35"/>
      <c r="BG839" s="35"/>
      <c r="BO839" s="35"/>
      <c r="BP839" s="35"/>
      <c r="BW839" s="36"/>
      <c r="BX839" s="36"/>
      <c r="BY839" s="36"/>
      <c r="BZ839" s="36"/>
      <c r="CY839" s="33"/>
    </row>
    <row r="840" spans="2:103" s="32" customFormat="1" x14ac:dyDescent="0.15">
      <c r="B840" s="33"/>
      <c r="E840" s="35"/>
      <c r="H840" s="33"/>
      <c r="N840" s="114"/>
      <c r="O840" s="34"/>
      <c r="P840" s="33"/>
      <c r="Q840" s="33"/>
      <c r="AA840" s="33"/>
      <c r="AB840" s="33"/>
      <c r="AC840" s="33"/>
      <c r="AD840" s="139"/>
      <c r="AE840" s="33"/>
      <c r="AL840" s="35"/>
      <c r="AV840" s="35"/>
      <c r="AW840" s="35"/>
      <c r="AX840" s="35"/>
      <c r="AY840" s="36"/>
      <c r="BF840" s="35"/>
      <c r="BG840" s="35"/>
      <c r="BO840" s="35"/>
      <c r="BP840" s="35"/>
      <c r="BW840" s="36"/>
      <c r="BX840" s="36"/>
      <c r="BY840" s="36"/>
      <c r="BZ840" s="36"/>
      <c r="CY840" s="33"/>
    </row>
    <row r="841" spans="2:103" s="32" customFormat="1" x14ac:dyDescent="0.15">
      <c r="B841" s="33"/>
      <c r="E841" s="35"/>
      <c r="H841" s="33"/>
      <c r="N841" s="114"/>
      <c r="O841" s="34"/>
      <c r="P841" s="33"/>
      <c r="Q841" s="33"/>
      <c r="AA841" s="33"/>
      <c r="AB841" s="33"/>
      <c r="AC841" s="33"/>
      <c r="AD841" s="139"/>
      <c r="AE841" s="33"/>
      <c r="AL841" s="35"/>
      <c r="AV841" s="35"/>
      <c r="AW841" s="35"/>
      <c r="AX841" s="35"/>
      <c r="AY841" s="36"/>
      <c r="BF841" s="35"/>
      <c r="BG841" s="35"/>
      <c r="BO841" s="35"/>
      <c r="BP841" s="35"/>
      <c r="BW841" s="36"/>
      <c r="BX841" s="36"/>
      <c r="BY841" s="36"/>
      <c r="BZ841" s="36"/>
      <c r="CY841" s="33"/>
    </row>
    <row r="842" spans="2:103" s="32" customFormat="1" x14ac:dyDescent="0.15">
      <c r="B842" s="33"/>
      <c r="E842" s="35"/>
      <c r="H842" s="33"/>
      <c r="N842" s="114"/>
      <c r="O842" s="34"/>
      <c r="P842" s="33"/>
      <c r="Q842" s="33"/>
      <c r="AA842" s="33"/>
      <c r="AB842" s="33"/>
      <c r="AC842" s="33"/>
      <c r="AD842" s="139"/>
      <c r="AE842" s="33"/>
      <c r="AL842" s="35"/>
      <c r="AV842" s="35"/>
      <c r="AW842" s="35"/>
      <c r="AX842" s="35"/>
      <c r="AY842" s="36"/>
      <c r="BF842" s="35"/>
      <c r="BG842" s="35"/>
      <c r="BO842" s="35"/>
      <c r="BP842" s="35"/>
      <c r="BW842" s="36"/>
      <c r="BX842" s="36"/>
      <c r="BY842" s="36"/>
      <c r="BZ842" s="36"/>
      <c r="CY842" s="33"/>
    </row>
    <row r="843" spans="2:103" s="32" customFormat="1" x14ac:dyDescent="0.15">
      <c r="B843" s="33"/>
      <c r="E843" s="35"/>
      <c r="H843" s="33"/>
      <c r="N843" s="114"/>
      <c r="O843" s="34"/>
      <c r="P843" s="33"/>
      <c r="Q843" s="33"/>
      <c r="AA843" s="33"/>
      <c r="AB843" s="33"/>
      <c r="AC843" s="33"/>
      <c r="AD843" s="139"/>
      <c r="AE843" s="33"/>
      <c r="AL843" s="35"/>
      <c r="AV843" s="35"/>
      <c r="AW843" s="35"/>
      <c r="AX843" s="35"/>
      <c r="AY843" s="36"/>
      <c r="BF843" s="35"/>
      <c r="BG843" s="35"/>
      <c r="BO843" s="35"/>
      <c r="BP843" s="35"/>
      <c r="BW843" s="36"/>
      <c r="BX843" s="36"/>
      <c r="BY843" s="36"/>
      <c r="BZ843" s="36"/>
      <c r="CY843" s="33"/>
    </row>
    <row r="844" spans="2:103" s="32" customFormat="1" x14ac:dyDescent="0.15">
      <c r="B844" s="33"/>
      <c r="E844" s="35"/>
      <c r="H844" s="33"/>
      <c r="N844" s="114"/>
      <c r="O844" s="34"/>
      <c r="P844" s="33"/>
      <c r="Q844" s="33"/>
      <c r="AA844" s="33"/>
      <c r="AB844" s="33"/>
      <c r="AC844" s="33"/>
      <c r="AD844" s="139"/>
      <c r="AE844" s="33"/>
      <c r="AL844" s="35"/>
      <c r="AV844" s="35"/>
      <c r="AW844" s="35"/>
      <c r="AX844" s="35"/>
      <c r="AY844" s="36"/>
      <c r="BF844" s="35"/>
      <c r="BG844" s="35"/>
      <c r="BO844" s="35"/>
      <c r="BP844" s="35"/>
      <c r="BW844" s="36"/>
      <c r="BX844" s="36"/>
      <c r="BY844" s="36"/>
      <c r="BZ844" s="36"/>
      <c r="CY844" s="33"/>
    </row>
    <row r="845" spans="2:103" s="32" customFormat="1" x14ac:dyDescent="0.15">
      <c r="B845" s="33"/>
      <c r="E845" s="35"/>
      <c r="H845" s="33"/>
      <c r="N845" s="114"/>
      <c r="O845" s="34"/>
      <c r="P845" s="33"/>
      <c r="Q845" s="33"/>
      <c r="AA845" s="33"/>
      <c r="AB845" s="33"/>
      <c r="AC845" s="33"/>
      <c r="AD845" s="139"/>
      <c r="AE845" s="33"/>
      <c r="AL845" s="35"/>
      <c r="AV845" s="35"/>
      <c r="AW845" s="35"/>
      <c r="AX845" s="35"/>
      <c r="AY845" s="36"/>
      <c r="BF845" s="35"/>
      <c r="BG845" s="35"/>
      <c r="BO845" s="35"/>
      <c r="BP845" s="35"/>
      <c r="BW845" s="36"/>
      <c r="BX845" s="36"/>
      <c r="BY845" s="36"/>
      <c r="BZ845" s="36"/>
      <c r="CY845" s="33"/>
    </row>
    <row r="846" spans="2:103" s="32" customFormat="1" x14ac:dyDescent="0.15">
      <c r="B846" s="33"/>
      <c r="E846" s="35"/>
      <c r="H846" s="33"/>
      <c r="N846" s="114"/>
      <c r="O846" s="34"/>
      <c r="P846" s="33"/>
      <c r="Q846" s="33"/>
      <c r="AA846" s="33"/>
      <c r="AB846" s="33"/>
      <c r="AC846" s="33"/>
      <c r="AD846" s="139"/>
      <c r="AE846" s="33"/>
      <c r="AL846" s="35"/>
      <c r="AV846" s="35"/>
      <c r="AW846" s="35"/>
      <c r="AX846" s="35"/>
      <c r="AY846" s="36"/>
      <c r="BF846" s="35"/>
      <c r="BG846" s="35"/>
      <c r="BO846" s="35"/>
      <c r="BP846" s="35"/>
      <c r="BW846" s="36"/>
      <c r="BX846" s="36"/>
      <c r="BY846" s="36"/>
      <c r="BZ846" s="36"/>
      <c r="CY846" s="33"/>
    </row>
    <row r="847" spans="2:103" s="32" customFormat="1" x14ac:dyDescent="0.15">
      <c r="B847" s="33"/>
      <c r="E847" s="35"/>
      <c r="H847" s="33"/>
      <c r="N847" s="114"/>
      <c r="O847" s="34"/>
      <c r="P847" s="33"/>
      <c r="Q847" s="33"/>
      <c r="AA847" s="33"/>
      <c r="AB847" s="33"/>
      <c r="AC847" s="33"/>
      <c r="AD847" s="139"/>
      <c r="AE847" s="33"/>
      <c r="AL847" s="35"/>
      <c r="AV847" s="35"/>
      <c r="AW847" s="35"/>
      <c r="AX847" s="35"/>
      <c r="AY847" s="36"/>
      <c r="BF847" s="35"/>
      <c r="BG847" s="35"/>
      <c r="BO847" s="35"/>
      <c r="BP847" s="35"/>
      <c r="BW847" s="36"/>
      <c r="BX847" s="36"/>
      <c r="BY847" s="36"/>
      <c r="BZ847" s="36"/>
      <c r="CY847" s="33"/>
    </row>
    <row r="848" spans="2:103" s="32" customFormat="1" x14ac:dyDescent="0.15">
      <c r="B848" s="33"/>
      <c r="E848" s="35"/>
      <c r="H848" s="33"/>
      <c r="N848" s="114"/>
      <c r="O848" s="34"/>
      <c r="P848" s="33"/>
      <c r="Q848" s="33"/>
      <c r="AA848" s="33"/>
      <c r="AB848" s="33"/>
      <c r="AC848" s="33"/>
      <c r="AD848" s="139"/>
      <c r="AE848" s="33"/>
      <c r="AL848" s="35"/>
      <c r="AV848" s="35"/>
      <c r="AW848" s="35"/>
      <c r="AX848" s="35"/>
      <c r="AY848" s="36"/>
      <c r="BF848" s="35"/>
      <c r="BG848" s="35"/>
      <c r="BO848" s="35"/>
      <c r="BP848" s="35"/>
      <c r="BW848" s="36"/>
      <c r="BX848" s="36"/>
      <c r="BY848" s="36"/>
      <c r="BZ848" s="36"/>
      <c r="CY848" s="33"/>
    </row>
    <row r="849" spans="2:103" s="32" customFormat="1" x14ac:dyDescent="0.15">
      <c r="B849" s="33"/>
      <c r="E849" s="35"/>
      <c r="H849" s="33"/>
      <c r="N849" s="114"/>
      <c r="O849" s="34"/>
      <c r="P849" s="33"/>
      <c r="Q849" s="33"/>
      <c r="AA849" s="33"/>
      <c r="AB849" s="33"/>
      <c r="AC849" s="33"/>
      <c r="AD849" s="139"/>
      <c r="AE849" s="33"/>
      <c r="AL849" s="35"/>
      <c r="AV849" s="35"/>
      <c r="AW849" s="35"/>
      <c r="AX849" s="35"/>
      <c r="AY849" s="36"/>
      <c r="BF849" s="35"/>
      <c r="BG849" s="35"/>
      <c r="BO849" s="35"/>
      <c r="BP849" s="35"/>
      <c r="BW849" s="36"/>
      <c r="BX849" s="36"/>
      <c r="BY849" s="36"/>
      <c r="BZ849" s="36"/>
      <c r="CY849" s="33"/>
    </row>
    <row r="850" spans="2:103" s="32" customFormat="1" x14ac:dyDescent="0.15">
      <c r="B850" s="33"/>
      <c r="E850" s="35"/>
      <c r="H850" s="33"/>
      <c r="N850" s="114"/>
      <c r="O850" s="34"/>
      <c r="P850" s="33"/>
      <c r="Q850" s="33"/>
      <c r="AA850" s="33"/>
      <c r="AB850" s="33"/>
      <c r="AC850" s="33"/>
      <c r="AD850" s="139"/>
      <c r="AE850" s="33"/>
      <c r="AL850" s="35"/>
      <c r="AV850" s="35"/>
      <c r="AW850" s="35"/>
      <c r="AX850" s="35"/>
      <c r="AY850" s="36"/>
      <c r="BF850" s="35"/>
      <c r="BG850" s="35"/>
      <c r="BO850" s="35"/>
      <c r="BP850" s="35"/>
      <c r="BW850" s="36"/>
      <c r="BX850" s="36"/>
      <c r="BY850" s="36"/>
      <c r="BZ850" s="36"/>
      <c r="CY850" s="33"/>
    </row>
    <row r="851" spans="2:103" s="32" customFormat="1" x14ac:dyDescent="0.15">
      <c r="B851" s="33"/>
      <c r="E851" s="35"/>
      <c r="H851" s="33"/>
      <c r="N851" s="114"/>
      <c r="O851" s="34"/>
      <c r="P851" s="33"/>
      <c r="Q851" s="33"/>
      <c r="AA851" s="33"/>
      <c r="AB851" s="33"/>
      <c r="AC851" s="33"/>
      <c r="AD851" s="139"/>
      <c r="AE851" s="33"/>
      <c r="AL851" s="35"/>
      <c r="AV851" s="35"/>
      <c r="AW851" s="35"/>
      <c r="AX851" s="35"/>
      <c r="AY851" s="36"/>
      <c r="BF851" s="35"/>
      <c r="BG851" s="35"/>
      <c r="BO851" s="35"/>
      <c r="BP851" s="35"/>
      <c r="BW851" s="36"/>
      <c r="BX851" s="36"/>
      <c r="BY851" s="36"/>
      <c r="BZ851" s="36"/>
      <c r="CY851" s="33"/>
    </row>
    <row r="852" spans="2:103" s="32" customFormat="1" x14ac:dyDescent="0.15">
      <c r="B852" s="33"/>
      <c r="E852" s="35"/>
      <c r="H852" s="33"/>
      <c r="N852" s="114"/>
      <c r="O852" s="34"/>
      <c r="P852" s="33"/>
      <c r="Q852" s="33"/>
      <c r="AA852" s="33"/>
      <c r="AB852" s="33"/>
      <c r="AC852" s="33"/>
      <c r="AD852" s="139"/>
      <c r="AE852" s="33"/>
      <c r="AL852" s="35"/>
      <c r="AV852" s="35"/>
      <c r="AW852" s="35"/>
      <c r="AX852" s="35"/>
      <c r="AY852" s="36"/>
      <c r="BF852" s="35"/>
      <c r="BG852" s="35"/>
      <c r="BO852" s="35"/>
      <c r="BP852" s="35"/>
      <c r="BW852" s="36"/>
      <c r="BX852" s="36"/>
      <c r="BY852" s="36"/>
      <c r="BZ852" s="36"/>
      <c r="CY852" s="33"/>
    </row>
    <row r="853" spans="2:103" s="32" customFormat="1" x14ac:dyDescent="0.15">
      <c r="B853" s="33"/>
      <c r="E853" s="35"/>
      <c r="H853" s="33"/>
      <c r="N853" s="114"/>
      <c r="O853" s="34"/>
      <c r="P853" s="33"/>
      <c r="Q853" s="33"/>
      <c r="AA853" s="33"/>
      <c r="AB853" s="33"/>
      <c r="AC853" s="33"/>
      <c r="AD853" s="139"/>
      <c r="AE853" s="33"/>
      <c r="AL853" s="35"/>
      <c r="AV853" s="35"/>
      <c r="AW853" s="35"/>
      <c r="AX853" s="35"/>
      <c r="AY853" s="36"/>
      <c r="BF853" s="35"/>
      <c r="BG853" s="35"/>
      <c r="BO853" s="35"/>
      <c r="BP853" s="35"/>
      <c r="BW853" s="36"/>
      <c r="BX853" s="36"/>
      <c r="BY853" s="36"/>
      <c r="BZ853" s="36"/>
      <c r="CY853" s="33"/>
    </row>
    <row r="854" spans="2:103" s="32" customFormat="1" x14ac:dyDescent="0.15">
      <c r="B854" s="33"/>
      <c r="E854" s="35"/>
      <c r="H854" s="33"/>
      <c r="N854" s="114"/>
      <c r="O854" s="34"/>
      <c r="P854" s="33"/>
      <c r="Q854" s="33"/>
      <c r="AA854" s="33"/>
      <c r="AB854" s="33"/>
      <c r="AC854" s="33"/>
      <c r="AD854" s="139"/>
      <c r="AE854" s="33"/>
      <c r="AL854" s="35"/>
      <c r="AV854" s="35"/>
      <c r="AW854" s="35"/>
      <c r="AX854" s="35"/>
      <c r="AY854" s="36"/>
      <c r="BF854" s="35"/>
      <c r="BG854" s="35"/>
      <c r="BO854" s="35"/>
      <c r="BP854" s="35"/>
      <c r="BW854" s="36"/>
      <c r="BX854" s="36"/>
      <c r="BY854" s="36"/>
      <c r="BZ854" s="36"/>
      <c r="CY854" s="33"/>
    </row>
    <row r="855" spans="2:103" s="32" customFormat="1" x14ac:dyDescent="0.15">
      <c r="B855" s="33"/>
      <c r="E855" s="35"/>
      <c r="H855" s="33"/>
      <c r="N855" s="114"/>
      <c r="O855" s="34"/>
      <c r="P855" s="33"/>
      <c r="Q855" s="33"/>
      <c r="AA855" s="33"/>
      <c r="AB855" s="33"/>
      <c r="AC855" s="33"/>
      <c r="AD855" s="139"/>
      <c r="AE855" s="33"/>
      <c r="AL855" s="35"/>
      <c r="AV855" s="35"/>
      <c r="AW855" s="35"/>
      <c r="AX855" s="35"/>
      <c r="AY855" s="36"/>
      <c r="BF855" s="35"/>
      <c r="BG855" s="35"/>
      <c r="BO855" s="35"/>
      <c r="BP855" s="35"/>
      <c r="BW855" s="36"/>
      <c r="BX855" s="36"/>
      <c r="BY855" s="36"/>
      <c r="BZ855" s="36"/>
      <c r="CY855" s="33"/>
    </row>
    <row r="856" spans="2:103" s="32" customFormat="1" x14ac:dyDescent="0.15">
      <c r="B856" s="33"/>
      <c r="E856" s="35"/>
      <c r="H856" s="33"/>
      <c r="N856" s="114"/>
      <c r="O856" s="34"/>
      <c r="P856" s="33"/>
      <c r="Q856" s="33"/>
      <c r="AA856" s="33"/>
      <c r="AB856" s="33"/>
      <c r="AC856" s="33"/>
      <c r="AD856" s="139"/>
      <c r="AE856" s="33"/>
      <c r="AL856" s="35"/>
      <c r="AV856" s="35"/>
      <c r="AW856" s="35"/>
      <c r="AX856" s="35"/>
      <c r="AY856" s="36"/>
      <c r="BF856" s="35"/>
      <c r="BG856" s="35"/>
      <c r="BO856" s="35"/>
      <c r="BP856" s="35"/>
      <c r="BW856" s="36"/>
      <c r="BX856" s="36"/>
      <c r="BY856" s="36"/>
      <c r="BZ856" s="36"/>
      <c r="CY856" s="33"/>
    </row>
    <row r="857" spans="2:103" s="32" customFormat="1" x14ac:dyDescent="0.15">
      <c r="B857" s="33"/>
      <c r="E857" s="35"/>
      <c r="H857" s="33"/>
      <c r="N857" s="114"/>
      <c r="O857" s="34"/>
      <c r="P857" s="33"/>
      <c r="Q857" s="33"/>
      <c r="AA857" s="33"/>
      <c r="AB857" s="33"/>
      <c r="AC857" s="33"/>
      <c r="AD857" s="139"/>
      <c r="AE857" s="33"/>
      <c r="AL857" s="35"/>
      <c r="AV857" s="35"/>
      <c r="AW857" s="35"/>
      <c r="AX857" s="35"/>
      <c r="AY857" s="36"/>
      <c r="BF857" s="35"/>
      <c r="BG857" s="35"/>
      <c r="BO857" s="35"/>
      <c r="BP857" s="35"/>
      <c r="BW857" s="36"/>
      <c r="BX857" s="36"/>
      <c r="BY857" s="36"/>
      <c r="BZ857" s="36"/>
      <c r="CY857" s="33"/>
    </row>
    <row r="858" spans="2:103" s="32" customFormat="1" x14ac:dyDescent="0.15">
      <c r="B858" s="33"/>
      <c r="E858" s="35"/>
      <c r="H858" s="33"/>
      <c r="N858" s="114"/>
      <c r="O858" s="34"/>
      <c r="P858" s="33"/>
      <c r="Q858" s="33"/>
      <c r="AA858" s="33"/>
      <c r="AB858" s="33"/>
      <c r="AC858" s="33"/>
      <c r="AD858" s="139"/>
      <c r="AE858" s="33"/>
      <c r="AL858" s="35"/>
      <c r="AV858" s="35"/>
      <c r="AW858" s="35"/>
      <c r="AX858" s="35"/>
      <c r="AY858" s="36"/>
      <c r="BF858" s="35"/>
      <c r="BG858" s="35"/>
      <c r="BO858" s="35"/>
      <c r="BP858" s="35"/>
      <c r="BW858" s="36"/>
      <c r="BX858" s="36"/>
      <c r="BY858" s="36"/>
      <c r="BZ858" s="36"/>
      <c r="CY858" s="33"/>
    </row>
    <row r="859" spans="2:103" s="32" customFormat="1" x14ac:dyDescent="0.15">
      <c r="B859" s="33"/>
      <c r="E859" s="35"/>
      <c r="H859" s="33"/>
      <c r="N859" s="114"/>
      <c r="O859" s="34"/>
      <c r="P859" s="33"/>
      <c r="Q859" s="33"/>
      <c r="AA859" s="33"/>
      <c r="AB859" s="33"/>
      <c r="AC859" s="33"/>
      <c r="AD859" s="139"/>
      <c r="AE859" s="33"/>
      <c r="AL859" s="35"/>
      <c r="AV859" s="35"/>
      <c r="AW859" s="35"/>
      <c r="AX859" s="35"/>
      <c r="AY859" s="36"/>
      <c r="BF859" s="35"/>
      <c r="BG859" s="35"/>
      <c r="BO859" s="35"/>
      <c r="BP859" s="35"/>
      <c r="BW859" s="36"/>
      <c r="BX859" s="36"/>
      <c r="BY859" s="36"/>
      <c r="BZ859" s="36"/>
      <c r="CY859" s="33"/>
    </row>
    <row r="860" spans="2:103" s="32" customFormat="1" x14ac:dyDescent="0.15">
      <c r="B860" s="33"/>
      <c r="E860" s="35"/>
      <c r="H860" s="33"/>
      <c r="N860" s="114"/>
      <c r="O860" s="34"/>
      <c r="P860" s="33"/>
      <c r="Q860" s="33"/>
      <c r="AA860" s="33"/>
      <c r="AB860" s="33"/>
      <c r="AC860" s="33"/>
      <c r="AD860" s="139"/>
      <c r="AE860" s="33"/>
      <c r="AL860" s="35"/>
      <c r="AV860" s="35"/>
      <c r="AW860" s="35"/>
      <c r="AX860" s="35"/>
      <c r="AY860" s="36"/>
      <c r="BF860" s="35"/>
      <c r="BG860" s="35"/>
      <c r="BO860" s="35"/>
      <c r="BP860" s="35"/>
      <c r="BW860" s="36"/>
      <c r="BX860" s="36"/>
      <c r="BY860" s="36"/>
      <c r="BZ860" s="36"/>
      <c r="CY860" s="33"/>
    </row>
    <row r="861" spans="2:103" s="32" customFormat="1" x14ac:dyDescent="0.15">
      <c r="B861" s="33"/>
      <c r="E861" s="35"/>
      <c r="H861" s="33"/>
      <c r="N861" s="114"/>
      <c r="O861" s="34"/>
      <c r="P861" s="33"/>
      <c r="Q861" s="33"/>
      <c r="AA861" s="33"/>
      <c r="AB861" s="33"/>
      <c r="AC861" s="33"/>
      <c r="AD861" s="139"/>
      <c r="AE861" s="33"/>
      <c r="AL861" s="35"/>
      <c r="AV861" s="35"/>
      <c r="AW861" s="35"/>
      <c r="AX861" s="35"/>
      <c r="AY861" s="36"/>
      <c r="BF861" s="35"/>
      <c r="BG861" s="35"/>
      <c r="BO861" s="35"/>
      <c r="BP861" s="35"/>
      <c r="BW861" s="36"/>
      <c r="BX861" s="36"/>
      <c r="BY861" s="36"/>
      <c r="BZ861" s="36"/>
      <c r="CY861" s="33"/>
    </row>
    <row r="862" spans="2:103" s="32" customFormat="1" x14ac:dyDescent="0.15">
      <c r="B862" s="33"/>
      <c r="E862" s="35"/>
      <c r="H862" s="33"/>
      <c r="N862" s="114"/>
      <c r="O862" s="34"/>
      <c r="P862" s="33"/>
      <c r="Q862" s="33"/>
      <c r="AA862" s="33"/>
      <c r="AB862" s="33"/>
      <c r="AC862" s="33"/>
      <c r="AD862" s="139"/>
      <c r="AE862" s="33"/>
      <c r="AL862" s="35"/>
      <c r="AV862" s="35"/>
      <c r="AW862" s="35"/>
      <c r="AX862" s="35"/>
      <c r="AY862" s="36"/>
      <c r="BF862" s="35"/>
      <c r="BG862" s="35"/>
      <c r="BO862" s="35"/>
      <c r="BP862" s="35"/>
      <c r="BW862" s="36"/>
      <c r="BX862" s="36"/>
      <c r="BY862" s="36"/>
      <c r="BZ862" s="36"/>
      <c r="CY862" s="33"/>
    </row>
    <row r="863" spans="2:103" s="32" customFormat="1" x14ac:dyDescent="0.15">
      <c r="B863" s="33"/>
      <c r="E863" s="35"/>
      <c r="H863" s="33"/>
      <c r="N863" s="114"/>
      <c r="O863" s="34"/>
      <c r="P863" s="33"/>
      <c r="Q863" s="33"/>
      <c r="AA863" s="33"/>
      <c r="AB863" s="33"/>
      <c r="AC863" s="33"/>
      <c r="AD863" s="139"/>
      <c r="AE863" s="33"/>
      <c r="AL863" s="35"/>
      <c r="AV863" s="35"/>
      <c r="AW863" s="35"/>
      <c r="AX863" s="35"/>
      <c r="AY863" s="36"/>
      <c r="BF863" s="35"/>
      <c r="BG863" s="35"/>
      <c r="BO863" s="35"/>
      <c r="BP863" s="35"/>
      <c r="BW863" s="36"/>
      <c r="BX863" s="36"/>
      <c r="BY863" s="36"/>
      <c r="BZ863" s="36"/>
      <c r="CY863" s="33"/>
    </row>
    <row r="864" spans="2:103" s="32" customFormat="1" x14ac:dyDescent="0.15">
      <c r="B864" s="33"/>
      <c r="E864" s="35"/>
      <c r="H864" s="33"/>
      <c r="N864" s="114"/>
      <c r="O864" s="34"/>
      <c r="P864" s="33"/>
      <c r="Q864" s="33"/>
      <c r="AA864" s="33"/>
      <c r="AB864" s="33"/>
      <c r="AC864" s="33"/>
      <c r="AD864" s="139"/>
      <c r="AE864" s="33"/>
      <c r="AL864" s="35"/>
      <c r="AV864" s="35"/>
      <c r="AW864" s="35"/>
      <c r="AX864" s="35"/>
      <c r="AY864" s="36"/>
      <c r="BF864" s="35"/>
      <c r="BG864" s="35"/>
      <c r="BO864" s="35"/>
      <c r="BP864" s="35"/>
      <c r="BW864" s="36"/>
      <c r="BX864" s="36"/>
      <c r="BY864" s="36"/>
      <c r="BZ864" s="36"/>
      <c r="CY864" s="33"/>
    </row>
    <row r="865" spans="2:103" s="32" customFormat="1" x14ac:dyDescent="0.15">
      <c r="B865" s="33"/>
      <c r="E865" s="35"/>
      <c r="H865" s="33"/>
      <c r="N865" s="114"/>
      <c r="O865" s="34"/>
      <c r="P865" s="33"/>
      <c r="Q865" s="33"/>
      <c r="AA865" s="33"/>
      <c r="AB865" s="33"/>
      <c r="AC865" s="33"/>
      <c r="AD865" s="139"/>
      <c r="AE865" s="33"/>
      <c r="AL865" s="35"/>
      <c r="AV865" s="35"/>
      <c r="AW865" s="35"/>
      <c r="AX865" s="35"/>
      <c r="AY865" s="36"/>
      <c r="BF865" s="35"/>
      <c r="BG865" s="35"/>
      <c r="BO865" s="35"/>
      <c r="BP865" s="35"/>
      <c r="BW865" s="36"/>
      <c r="BX865" s="36"/>
      <c r="BY865" s="36"/>
      <c r="BZ865" s="36"/>
      <c r="CY865" s="33"/>
    </row>
    <row r="866" spans="2:103" s="32" customFormat="1" x14ac:dyDescent="0.15">
      <c r="B866" s="33"/>
      <c r="E866" s="35"/>
      <c r="H866" s="33"/>
      <c r="N866" s="114"/>
      <c r="O866" s="34"/>
      <c r="P866" s="33"/>
      <c r="Q866" s="33"/>
      <c r="AA866" s="33"/>
      <c r="AB866" s="33"/>
      <c r="AC866" s="33"/>
      <c r="AD866" s="139"/>
      <c r="AE866" s="33"/>
      <c r="AL866" s="35"/>
      <c r="AV866" s="35"/>
      <c r="AW866" s="35"/>
      <c r="AX866" s="35"/>
      <c r="AY866" s="36"/>
      <c r="BF866" s="35"/>
      <c r="BG866" s="35"/>
      <c r="BO866" s="35"/>
      <c r="BP866" s="35"/>
      <c r="BW866" s="36"/>
      <c r="BX866" s="36"/>
      <c r="BY866" s="36"/>
      <c r="BZ866" s="36"/>
      <c r="CY866" s="33"/>
    </row>
    <row r="867" spans="2:103" s="32" customFormat="1" x14ac:dyDescent="0.15">
      <c r="B867" s="33"/>
      <c r="E867" s="35"/>
      <c r="H867" s="33"/>
      <c r="N867" s="114"/>
      <c r="O867" s="34"/>
      <c r="P867" s="33"/>
      <c r="Q867" s="33"/>
      <c r="AA867" s="33"/>
      <c r="AB867" s="33"/>
      <c r="AC867" s="33"/>
      <c r="AD867" s="139"/>
      <c r="AE867" s="33"/>
      <c r="AL867" s="35"/>
      <c r="AV867" s="35"/>
      <c r="AW867" s="35"/>
      <c r="AX867" s="35"/>
      <c r="AY867" s="36"/>
      <c r="BF867" s="35"/>
      <c r="BG867" s="35"/>
      <c r="BO867" s="35"/>
      <c r="BP867" s="35"/>
      <c r="BW867" s="36"/>
      <c r="BX867" s="36"/>
      <c r="BY867" s="36"/>
      <c r="BZ867" s="36"/>
      <c r="CY867" s="33"/>
    </row>
    <row r="868" spans="2:103" s="32" customFormat="1" x14ac:dyDescent="0.15">
      <c r="B868" s="33"/>
      <c r="E868" s="35"/>
      <c r="H868" s="33"/>
      <c r="N868" s="114"/>
      <c r="O868" s="34"/>
      <c r="P868" s="33"/>
      <c r="Q868" s="33"/>
      <c r="AA868" s="33"/>
      <c r="AB868" s="33"/>
      <c r="AC868" s="33"/>
      <c r="AD868" s="139"/>
      <c r="AE868" s="33"/>
      <c r="AL868" s="35"/>
      <c r="AV868" s="35"/>
      <c r="AW868" s="35"/>
      <c r="AX868" s="35"/>
      <c r="AY868" s="36"/>
      <c r="BF868" s="35"/>
      <c r="BG868" s="35"/>
      <c r="BO868" s="35"/>
      <c r="BP868" s="35"/>
      <c r="BW868" s="36"/>
      <c r="BX868" s="36"/>
      <c r="BY868" s="36"/>
      <c r="BZ868" s="36"/>
      <c r="CY868" s="33"/>
    </row>
    <row r="869" spans="2:103" s="32" customFormat="1" x14ac:dyDescent="0.15">
      <c r="B869" s="33"/>
      <c r="E869" s="35"/>
      <c r="H869" s="33"/>
      <c r="N869" s="114"/>
      <c r="O869" s="34"/>
      <c r="P869" s="33"/>
      <c r="Q869" s="33"/>
      <c r="AA869" s="33"/>
      <c r="AB869" s="33"/>
      <c r="AC869" s="33"/>
      <c r="AD869" s="139"/>
      <c r="AE869" s="33"/>
      <c r="AL869" s="35"/>
      <c r="AV869" s="35"/>
      <c r="AW869" s="35"/>
      <c r="AX869" s="35"/>
      <c r="AY869" s="36"/>
      <c r="BF869" s="35"/>
      <c r="BG869" s="35"/>
      <c r="BO869" s="35"/>
      <c r="BP869" s="35"/>
      <c r="BW869" s="36"/>
      <c r="BX869" s="36"/>
      <c r="BY869" s="36"/>
      <c r="BZ869" s="36"/>
      <c r="CY869" s="33"/>
    </row>
    <row r="870" spans="2:103" s="32" customFormat="1" x14ac:dyDescent="0.15">
      <c r="B870" s="33"/>
      <c r="E870" s="35"/>
      <c r="H870" s="33"/>
      <c r="N870" s="114"/>
      <c r="O870" s="34"/>
      <c r="P870" s="33"/>
      <c r="Q870" s="33"/>
      <c r="AA870" s="33"/>
      <c r="AB870" s="33"/>
      <c r="AC870" s="33"/>
      <c r="AD870" s="139"/>
      <c r="AE870" s="33"/>
      <c r="AL870" s="35"/>
      <c r="AV870" s="35"/>
      <c r="AW870" s="35"/>
      <c r="AX870" s="35"/>
      <c r="AY870" s="36"/>
      <c r="BF870" s="35"/>
      <c r="BG870" s="35"/>
      <c r="BO870" s="35"/>
      <c r="BP870" s="35"/>
      <c r="BW870" s="36"/>
      <c r="BX870" s="36"/>
      <c r="BY870" s="36"/>
      <c r="BZ870" s="36"/>
      <c r="CY870" s="33"/>
    </row>
    <row r="871" spans="2:103" s="32" customFormat="1" x14ac:dyDescent="0.15">
      <c r="B871" s="33"/>
      <c r="E871" s="35"/>
      <c r="H871" s="33"/>
      <c r="N871" s="114"/>
      <c r="O871" s="34"/>
      <c r="P871" s="33"/>
      <c r="Q871" s="33"/>
      <c r="AA871" s="33"/>
      <c r="AB871" s="33"/>
      <c r="AC871" s="33"/>
      <c r="AD871" s="139"/>
      <c r="AE871" s="33"/>
      <c r="AL871" s="35"/>
      <c r="AV871" s="35"/>
      <c r="AW871" s="35"/>
      <c r="AX871" s="35"/>
      <c r="AY871" s="36"/>
      <c r="BF871" s="35"/>
      <c r="BG871" s="35"/>
      <c r="BO871" s="35"/>
      <c r="BP871" s="35"/>
      <c r="BW871" s="36"/>
      <c r="BX871" s="36"/>
      <c r="BY871" s="36"/>
      <c r="BZ871" s="36"/>
      <c r="CY871" s="33"/>
    </row>
    <row r="872" spans="2:103" s="32" customFormat="1" x14ac:dyDescent="0.15">
      <c r="B872" s="33"/>
      <c r="E872" s="35"/>
      <c r="H872" s="33"/>
      <c r="N872" s="114"/>
      <c r="O872" s="34"/>
      <c r="P872" s="33"/>
      <c r="Q872" s="33"/>
      <c r="AA872" s="33"/>
      <c r="AB872" s="33"/>
      <c r="AC872" s="33"/>
      <c r="AD872" s="139"/>
      <c r="AE872" s="33"/>
      <c r="AL872" s="35"/>
      <c r="AV872" s="35"/>
      <c r="AW872" s="35"/>
      <c r="AX872" s="35"/>
      <c r="AY872" s="36"/>
      <c r="BF872" s="35"/>
      <c r="BG872" s="35"/>
      <c r="BO872" s="35"/>
      <c r="BP872" s="35"/>
      <c r="BW872" s="36"/>
      <c r="BX872" s="36"/>
      <c r="BY872" s="36"/>
      <c r="BZ872" s="36"/>
      <c r="CY872" s="33"/>
    </row>
    <row r="873" spans="2:103" s="32" customFormat="1" x14ac:dyDescent="0.15">
      <c r="B873" s="33"/>
      <c r="E873" s="35"/>
      <c r="H873" s="33"/>
      <c r="N873" s="114"/>
      <c r="O873" s="34"/>
      <c r="P873" s="33"/>
      <c r="Q873" s="33"/>
      <c r="AA873" s="33"/>
      <c r="AB873" s="33"/>
      <c r="AC873" s="33"/>
      <c r="AD873" s="139"/>
      <c r="AE873" s="33"/>
      <c r="AL873" s="35"/>
      <c r="AV873" s="35"/>
      <c r="AW873" s="35"/>
      <c r="AX873" s="35"/>
      <c r="AY873" s="36"/>
      <c r="BF873" s="35"/>
      <c r="BG873" s="35"/>
      <c r="BO873" s="35"/>
      <c r="BP873" s="35"/>
      <c r="BW873" s="36"/>
      <c r="BX873" s="36"/>
      <c r="BY873" s="36"/>
      <c r="BZ873" s="36"/>
      <c r="CY873" s="33"/>
    </row>
    <row r="874" spans="2:103" s="32" customFormat="1" x14ac:dyDescent="0.15">
      <c r="B874" s="33"/>
      <c r="E874" s="35"/>
      <c r="H874" s="33"/>
      <c r="N874" s="114"/>
      <c r="O874" s="34"/>
      <c r="P874" s="33"/>
      <c r="Q874" s="33"/>
      <c r="AA874" s="33"/>
      <c r="AB874" s="33"/>
      <c r="AC874" s="33"/>
      <c r="AD874" s="139"/>
      <c r="AE874" s="33"/>
      <c r="AL874" s="35"/>
      <c r="AV874" s="35"/>
      <c r="AW874" s="35"/>
      <c r="AX874" s="35"/>
      <c r="AY874" s="36"/>
      <c r="BF874" s="35"/>
      <c r="BG874" s="35"/>
      <c r="BO874" s="35"/>
      <c r="BP874" s="35"/>
      <c r="BW874" s="36"/>
      <c r="BX874" s="36"/>
      <c r="BY874" s="36"/>
      <c r="BZ874" s="36"/>
      <c r="CY874" s="33"/>
    </row>
    <row r="875" spans="2:103" s="32" customFormat="1" x14ac:dyDescent="0.15">
      <c r="B875" s="33"/>
      <c r="E875" s="35"/>
      <c r="H875" s="33"/>
      <c r="N875" s="114"/>
      <c r="O875" s="34"/>
      <c r="P875" s="33"/>
      <c r="Q875" s="33"/>
      <c r="AA875" s="33"/>
      <c r="AB875" s="33"/>
      <c r="AC875" s="33"/>
      <c r="AD875" s="139"/>
      <c r="AE875" s="33"/>
      <c r="AL875" s="35"/>
      <c r="AV875" s="35"/>
      <c r="AW875" s="35"/>
      <c r="AX875" s="35"/>
      <c r="AY875" s="36"/>
      <c r="BF875" s="35"/>
      <c r="BG875" s="35"/>
      <c r="BO875" s="35"/>
      <c r="BP875" s="35"/>
      <c r="BW875" s="36"/>
      <c r="BX875" s="36"/>
      <c r="BY875" s="36"/>
      <c r="BZ875" s="36"/>
      <c r="CY875" s="33"/>
    </row>
    <row r="876" spans="2:103" s="32" customFormat="1" x14ac:dyDescent="0.15">
      <c r="B876" s="33"/>
      <c r="E876" s="35"/>
      <c r="H876" s="33"/>
      <c r="N876" s="114"/>
      <c r="O876" s="34"/>
      <c r="P876" s="33"/>
      <c r="Q876" s="33"/>
      <c r="AA876" s="33"/>
      <c r="AB876" s="33"/>
      <c r="AC876" s="33"/>
      <c r="AD876" s="139"/>
      <c r="AE876" s="33"/>
      <c r="AL876" s="35"/>
      <c r="AV876" s="35"/>
      <c r="AW876" s="35"/>
      <c r="AX876" s="35"/>
      <c r="AY876" s="36"/>
      <c r="BF876" s="35"/>
      <c r="BG876" s="35"/>
      <c r="BO876" s="35"/>
      <c r="BP876" s="35"/>
      <c r="BW876" s="36"/>
      <c r="BX876" s="36"/>
      <c r="BY876" s="36"/>
      <c r="BZ876" s="36"/>
      <c r="CY876" s="33"/>
    </row>
    <row r="877" spans="2:103" s="32" customFormat="1" x14ac:dyDescent="0.15">
      <c r="B877" s="33"/>
      <c r="E877" s="35"/>
      <c r="H877" s="33"/>
      <c r="N877" s="114"/>
      <c r="O877" s="34"/>
      <c r="P877" s="33"/>
      <c r="Q877" s="33"/>
      <c r="AA877" s="33"/>
      <c r="AB877" s="33"/>
      <c r="AC877" s="33"/>
      <c r="AD877" s="139"/>
      <c r="AE877" s="33"/>
      <c r="AL877" s="35"/>
      <c r="AV877" s="35"/>
      <c r="AW877" s="35"/>
      <c r="AX877" s="35"/>
      <c r="AY877" s="36"/>
      <c r="BF877" s="35"/>
      <c r="BG877" s="35"/>
      <c r="BO877" s="35"/>
      <c r="BP877" s="35"/>
      <c r="BW877" s="36"/>
      <c r="BX877" s="36"/>
      <c r="BY877" s="36"/>
      <c r="BZ877" s="36"/>
      <c r="CY877" s="33"/>
    </row>
    <row r="878" spans="2:103" s="32" customFormat="1" x14ac:dyDescent="0.15">
      <c r="B878" s="33"/>
      <c r="E878" s="35"/>
      <c r="H878" s="33"/>
      <c r="N878" s="114"/>
      <c r="O878" s="34"/>
      <c r="P878" s="33"/>
      <c r="Q878" s="33"/>
      <c r="AA878" s="33"/>
      <c r="AB878" s="33"/>
      <c r="AC878" s="33"/>
      <c r="AD878" s="139"/>
      <c r="AE878" s="33"/>
      <c r="AL878" s="35"/>
      <c r="AV878" s="35"/>
      <c r="AW878" s="35"/>
      <c r="AX878" s="35"/>
      <c r="AY878" s="36"/>
      <c r="BF878" s="35"/>
      <c r="BG878" s="35"/>
      <c r="BO878" s="35"/>
      <c r="BP878" s="35"/>
      <c r="BW878" s="36"/>
      <c r="BX878" s="36"/>
      <c r="BY878" s="36"/>
      <c r="BZ878" s="36"/>
      <c r="CY878" s="33"/>
    </row>
    <row r="879" spans="2:103" s="32" customFormat="1" x14ac:dyDescent="0.15">
      <c r="B879" s="33"/>
      <c r="E879" s="35"/>
      <c r="H879" s="33"/>
      <c r="N879" s="114"/>
      <c r="O879" s="34"/>
      <c r="P879" s="33"/>
      <c r="Q879" s="33"/>
      <c r="AA879" s="33"/>
      <c r="AB879" s="33"/>
      <c r="AC879" s="33"/>
      <c r="AD879" s="139"/>
      <c r="AE879" s="33"/>
      <c r="AL879" s="35"/>
      <c r="AV879" s="35"/>
      <c r="AW879" s="35"/>
      <c r="AX879" s="35"/>
      <c r="AY879" s="36"/>
      <c r="BF879" s="35"/>
      <c r="BG879" s="35"/>
      <c r="BO879" s="35"/>
      <c r="BP879" s="35"/>
      <c r="BW879" s="36"/>
      <c r="BX879" s="36"/>
      <c r="BY879" s="36"/>
      <c r="BZ879" s="36"/>
      <c r="CY879" s="33"/>
    </row>
    <row r="880" spans="2:103" s="32" customFormat="1" x14ac:dyDescent="0.15">
      <c r="B880" s="33"/>
      <c r="E880" s="35"/>
      <c r="H880" s="33"/>
      <c r="N880" s="114"/>
      <c r="O880" s="34"/>
      <c r="P880" s="33"/>
      <c r="Q880" s="33"/>
      <c r="AA880" s="33"/>
      <c r="AB880" s="33"/>
      <c r="AC880" s="33"/>
      <c r="AD880" s="139"/>
      <c r="AE880" s="33"/>
      <c r="AL880" s="35"/>
      <c r="AV880" s="35"/>
      <c r="AW880" s="35"/>
      <c r="AX880" s="35"/>
      <c r="AY880" s="36"/>
      <c r="BF880" s="35"/>
      <c r="BG880" s="35"/>
      <c r="BO880" s="35"/>
      <c r="BP880" s="35"/>
      <c r="BW880" s="36"/>
      <c r="BX880" s="36"/>
      <c r="BY880" s="36"/>
      <c r="BZ880" s="36"/>
      <c r="CY880" s="33"/>
    </row>
    <row r="881" spans="2:103" s="32" customFormat="1" x14ac:dyDescent="0.15">
      <c r="B881" s="33"/>
      <c r="E881" s="35"/>
      <c r="H881" s="33"/>
      <c r="N881" s="114"/>
      <c r="O881" s="34"/>
      <c r="P881" s="33"/>
      <c r="Q881" s="33"/>
      <c r="AA881" s="33"/>
      <c r="AB881" s="33"/>
      <c r="AC881" s="33"/>
      <c r="AD881" s="139"/>
      <c r="AE881" s="33"/>
      <c r="AL881" s="35"/>
      <c r="AV881" s="35"/>
      <c r="AW881" s="35"/>
      <c r="AX881" s="35"/>
      <c r="AY881" s="36"/>
      <c r="BF881" s="35"/>
      <c r="BG881" s="35"/>
      <c r="BO881" s="35"/>
      <c r="BP881" s="35"/>
      <c r="BW881" s="36"/>
      <c r="BX881" s="36"/>
      <c r="BY881" s="36"/>
      <c r="BZ881" s="36"/>
      <c r="CY881" s="33"/>
    </row>
    <row r="882" spans="2:103" s="32" customFormat="1" x14ac:dyDescent="0.15">
      <c r="B882" s="33"/>
      <c r="E882" s="35"/>
      <c r="H882" s="33"/>
      <c r="N882" s="114"/>
      <c r="O882" s="34"/>
      <c r="P882" s="33"/>
      <c r="Q882" s="33"/>
      <c r="AA882" s="33"/>
      <c r="AB882" s="33"/>
      <c r="AC882" s="33"/>
      <c r="AD882" s="139"/>
      <c r="AE882" s="33"/>
      <c r="AL882" s="35"/>
      <c r="AV882" s="35"/>
      <c r="AW882" s="35"/>
      <c r="AX882" s="35"/>
      <c r="AY882" s="36"/>
      <c r="BF882" s="35"/>
      <c r="BG882" s="35"/>
      <c r="BO882" s="35"/>
      <c r="BP882" s="35"/>
      <c r="BW882" s="36"/>
      <c r="BX882" s="36"/>
      <c r="BY882" s="36"/>
      <c r="BZ882" s="36"/>
      <c r="CY882" s="33"/>
    </row>
    <row r="883" spans="2:103" s="32" customFormat="1" x14ac:dyDescent="0.15">
      <c r="B883" s="33"/>
      <c r="E883" s="35"/>
      <c r="H883" s="33"/>
      <c r="N883" s="114"/>
      <c r="O883" s="34"/>
      <c r="P883" s="33"/>
      <c r="Q883" s="33"/>
      <c r="AA883" s="33"/>
      <c r="AB883" s="33"/>
      <c r="AC883" s="33"/>
      <c r="AD883" s="139"/>
      <c r="AE883" s="33"/>
      <c r="AL883" s="35"/>
      <c r="AV883" s="35"/>
      <c r="AW883" s="35"/>
      <c r="AX883" s="35"/>
      <c r="AY883" s="36"/>
      <c r="BF883" s="35"/>
      <c r="BG883" s="35"/>
      <c r="BO883" s="35"/>
      <c r="BP883" s="35"/>
      <c r="BW883" s="36"/>
      <c r="BX883" s="36"/>
      <c r="BY883" s="36"/>
      <c r="BZ883" s="36"/>
      <c r="CY883" s="33"/>
    </row>
    <row r="884" spans="2:103" s="32" customFormat="1" x14ac:dyDescent="0.15">
      <c r="B884" s="33"/>
      <c r="E884" s="35"/>
      <c r="H884" s="33"/>
      <c r="N884" s="114"/>
      <c r="O884" s="34"/>
      <c r="P884" s="33"/>
      <c r="Q884" s="33"/>
      <c r="AA884" s="33"/>
      <c r="AB884" s="33"/>
      <c r="AC884" s="33"/>
      <c r="AD884" s="139"/>
      <c r="AE884" s="33"/>
      <c r="AL884" s="35"/>
      <c r="AV884" s="35"/>
      <c r="AW884" s="35"/>
      <c r="AX884" s="35"/>
      <c r="AY884" s="36"/>
      <c r="BF884" s="35"/>
      <c r="BG884" s="35"/>
      <c r="BO884" s="35"/>
      <c r="BP884" s="35"/>
      <c r="BW884" s="36"/>
      <c r="BX884" s="36"/>
      <c r="BY884" s="36"/>
      <c r="BZ884" s="36"/>
      <c r="CY884" s="33"/>
    </row>
    <row r="885" spans="2:103" s="32" customFormat="1" x14ac:dyDescent="0.15">
      <c r="B885" s="33"/>
      <c r="E885" s="35"/>
      <c r="H885" s="33"/>
      <c r="N885" s="114"/>
      <c r="O885" s="34"/>
      <c r="P885" s="33"/>
      <c r="Q885" s="33"/>
      <c r="AA885" s="33"/>
      <c r="AB885" s="33"/>
      <c r="AC885" s="33"/>
      <c r="AD885" s="139"/>
      <c r="AE885" s="33"/>
      <c r="AL885" s="35"/>
      <c r="AV885" s="35"/>
      <c r="AW885" s="35"/>
      <c r="AX885" s="35"/>
      <c r="AY885" s="36"/>
      <c r="BF885" s="35"/>
      <c r="BG885" s="35"/>
      <c r="BO885" s="35"/>
      <c r="BP885" s="35"/>
      <c r="BW885" s="36"/>
      <c r="BX885" s="36"/>
      <c r="BY885" s="36"/>
      <c r="BZ885" s="36"/>
      <c r="CY885" s="33"/>
    </row>
    <row r="886" spans="2:103" s="32" customFormat="1" x14ac:dyDescent="0.15">
      <c r="B886" s="33"/>
      <c r="E886" s="35"/>
      <c r="H886" s="33"/>
      <c r="N886" s="114"/>
      <c r="O886" s="34"/>
      <c r="P886" s="33"/>
      <c r="Q886" s="33"/>
      <c r="AA886" s="33"/>
      <c r="AB886" s="33"/>
      <c r="AC886" s="33"/>
      <c r="AD886" s="139"/>
      <c r="AE886" s="33"/>
      <c r="AL886" s="35"/>
      <c r="AV886" s="35"/>
      <c r="AW886" s="35"/>
      <c r="AX886" s="35"/>
      <c r="AY886" s="36"/>
      <c r="BF886" s="35"/>
      <c r="BG886" s="35"/>
      <c r="BO886" s="35"/>
      <c r="BP886" s="35"/>
      <c r="BW886" s="36"/>
      <c r="BX886" s="36"/>
      <c r="BY886" s="36"/>
      <c r="BZ886" s="36"/>
      <c r="CY886" s="33"/>
    </row>
    <row r="887" spans="2:103" s="32" customFormat="1" x14ac:dyDescent="0.15">
      <c r="B887" s="33"/>
      <c r="E887" s="35"/>
      <c r="H887" s="33"/>
      <c r="N887" s="114"/>
      <c r="O887" s="34"/>
      <c r="P887" s="33"/>
      <c r="Q887" s="33"/>
      <c r="AA887" s="33"/>
      <c r="AB887" s="33"/>
      <c r="AC887" s="33"/>
      <c r="AD887" s="139"/>
      <c r="AE887" s="33"/>
      <c r="AL887" s="35"/>
      <c r="AV887" s="35"/>
      <c r="AW887" s="35"/>
      <c r="AX887" s="35"/>
      <c r="AY887" s="36"/>
      <c r="BF887" s="35"/>
      <c r="BG887" s="35"/>
      <c r="BO887" s="35"/>
      <c r="BP887" s="35"/>
      <c r="BW887" s="36"/>
      <c r="BX887" s="36"/>
      <c r="BY887" s="36"/>
      <c r="BZ887" s="36"/>
      <c r="CY887" s="33"/>
    </row>
    <row r="888" spans="2:103" s="32" customFormat="1" x14ac:dyDescent="0.15">
      <c r="B888" s="33"/>
      <c r="E888" s="35"/>
      <c r="H888" s="33"/>
      <c r="N888" s="114"/>
      <c r="O888" s="34"/>
      <c r="P888" s="33"/>
      <c r="Q888" s="33"/>
      <c r="AA888" s="33"/>
      <c r="AB888" s="33"/>
      <c r="AC888" s="33"/>
      <c r="AD888" s="139"/>
      <c r="AE888" s="33"/>
      <c r="AL888" s="35"/>
      <c r="AV888" s="35"/>
      <c r="AW888" s="35"/>
      <c r="AX888" s="35"/>
      <c r="AY888" s="36"/>
      <c r="BF888" s="35"/>
      <c r="BG888" s="35"/>
      <c r="BO888" s="35"/>
      <c r="BP888" s="35"/>
      <c r="BW888" s="36"/>
      <c r="BX888" s="36"/>
      <c r="BY888" s="36"/>
      <c r="BZ888" s="36"/>
      <c r="CY888" s="33"/>
    </row>
    <row r="889" spans="2:103" s="32" customFormat="1" x14ac:dyDescent="0.15">
      <c r="B889" s="33"/>
      <c r="E889" s="35"/>
      <c r="H889" s="33"/>
      <c r="N889" s="114"/>
      <c r="O889" s="34"/>
      <c r="P889" s="33"/>
      <c r="Q889" s="33"/>
      <c r="AA889" s="33"/>
      <c r="AB889" s="33"/>
      <c r="AC889" s="33"/>
      <c r="AD889" s="139"/>
      <c r="AE889" s="33"/>
      <c r="AL889" s="35"/>
      <c r="AV889" s="35"/>
      <c r="AW889" s="35"/>
      <c r="AX889" s="35"/>
      <c r="AY889" s="36"/>
      <c r="BF889" s="35"/>
      <c r="BG889" s="35"/>
      <c r="BO889" s="35"/>
      <c r="BP889" s="35"/>
      <c r="BW889" s="36"/>
      <c r="BX889" s="36"/>
      <c r="BY889" s="36"/>
      <c r="BZ889" s="36"/>
      <c r="CY889" s="33"/>
    </row>
    <row r="890" spans="2:103" s="32" customFormat="1" x14ac:dyDescent="0.15">
      <c r="B890" s="33"/>
      <c r="E890" s="35"/>
      <c r="H890" s="33"/>
      <c r="N890" s="114"/>
      <c r="O890" s="34"/>
      <c r="P890" s="33"/>
      <c r="Q890" s="33"/>
      <c r="AA890" s="33"/>
      <c r="AB890" s="33"/>
      <c r="AC890" s="33"/>
      <c r="AD890" s="139"/>
      <c r="AE890" s="33"/>
      <c r="AL890" s="35"/>
      <c r="AV890" s="35"/>
      <c r="AW890" s="35"/>
      <c r="AX890" s="35"/>
      <c r="AY890" s="36"/>
      <c r="BF890" s="35"/>
      <c r="BG890" s="35"/>
      <c r="BO890" s="35"/>
      <c r="BP890" s="35"/>
      <c r="BW890" s="36"/>
      <c r="BX890" s="36"/>
      <c r="BY890" s="36"/>
      <c r="BZ890" s="36"/>
      <c r="CY890" s="33"/>
    </row>
    <row r="891" spans="2:103" s="32" customFormat="1" x14ac:dyDescent="0.15">
      <c r="B891" s="33"/>
      <c r="E891" s="35"/>
      <c r="H891" s="33"/>
      <c r="N891" s="114"/>
      <c r="O891" s="34"/>
      <c r="P891" s="33"/>
      <c r="Q891" s="33"/>
      <c r="AA891" s="33"/>
      <c r="AB891" s="33"/>
      <c r="AC891" s="33"/>
      <c r="AD891" s="139"/>
      <c r="AE891" s="33"/>
      <c r="AL891" s="35"/>
      <c r="AV891" s="35"/>
      <c r="AW891" s="35"/>
      <c r="AX891" s="35"/>
      <c r="AY891" s="36"/>
      <c r="BF891" s="35"/>
      <c r="BG891" s="35"/>
      <c r="BO891" s="35"/>
      <c r="BP891" s="35"/>
      <c r="BW891" s="36"/>
      <c r="BX891" s="36"/>
      <c r="BY891" s="36"/>
      <c r="BZ891" s="36"/>
      <c r="CY891" s="33"/>
    </row>
    <row r="892" spans="2:103" s="32" customFormat="1" x14ac:dyDescent="0.15">
      <c r="B892" s="33"/>
      <c r="E892" s="35"/>
      <c r="H892" s="33"/>
      <c r="N892" s="114"/>
      <c r="O892" s="34"/>
      <c r="P892" s="33"/>
      <c r="Q892" s="33"/>
      <c r="AA892" s="33"/>
      <c r="AB892" s="33"/>
      <c r="AC892" s="33"/>
      <c r="AD892" s="139"/>
      <c r="AE892" s="33"/>
      <c r="AL892" s="35"/>
      <c r="AV892" s="35"/>
      <c r="AW892" s="35"/>
      <c r="AX892" s="35"/>
      <c r="AY892" s="36"/>
      <c r="BF892" s="35"/>
      <c r="BG892" s="35"/>
      <c r="BO892" s="35"/>
      <c r="BP892" s="35"/>
      <c r="BW892" s="36"/>
      <c r="BX892" s="36"/>
      <c r="BY892" s="36"/>
      <c r="BZ892" s="36"/>
      <c r="CY892" s="33"/>
    </row>
    <row r="893" spans="2:103" s="32" customFormat="1" x14ac:dyDescent="0.15">
      <c r="B893" s="33"/>
      <c r="E893" s="35"/>
      <c r="H893" s="33"/>
      <c r="N893" s="114"/>
      <c r="O893" s="34"/>
      <c r="P893" s="33"/>
      <c r="Q893" s="33"/>
      <c r="AA893" s="33"/>
      <c r="AB893" s="33"/>
      <c r="AC893" s="33"/>
      <c r="AD893" s="139"/>
      <c r="AE893" s="33"/>
      <c r="AL893" s="35"/>
      <c r="AV893" s="35"/>
      <c r="AW893" s="35"/>
      <c r="AX893" s="35"/>
      <c r="AY893" s="36"/>
      <c r="BF893" s="35"/>
      <c r="BG893" s="35"/>
      <c r="BO893" s="35"/>
      <c r="BP893" s="35"/>
      <c r="BW893" s="36"/>
      <c r="BX893" s="36"/>
      <c r="BY893" s="36"/>
      <c r="BZ893" s="36"/>
      <c r="CY893" s="33"/>
    </row>
    <row r="894" spans="2:103" s="32" customFormat="1" x14ac:dyDescent="0.15">
      <c r="B894" s="33"/>
      <c r="E894" s="35"/>
      <c r="H894" s="33"/>
      <c r="N894" s="114"/>
      <c r="O894" s="34"/>
      <c r="P894" s="33"/>
      <c r="Q894" s="33"/>
      <c r="AA894" s="33"/>
      <c r="AB894" s="33"/>
      <c r="AC894" s="33"/>
      <c r="AD894" s="139"/>
      <c r="AE894" s="33"/>
      <c r="AL894" s="35"/>
      <c r="AV894" s="35"/>
      <c r="AW894" s="35"/>
      <c r="AX894" s="35"/>
      <c r="AY894" s="36"/>
      <c r="BF894" s="35"/>
      <c r="BG894" s="35"/>
      <c r="BO894" s="35"/>
      <c r="BP894" s="35"/>
      <c r="BW894" s="36"/>
      <c r="BX894" s="36"/>
      <c r="BY894" s="36"/>
      <c r="BZ894" s="36"/>
      <c r="CY894" s="33"/>
    </row>
    <row r="895" spans="2:103" s="32" customFormat="1" x14ac:dyDescent="0.15">
      <c r="B895" s="33"/>
      <c r="E895" s="35"/>
      <c r="H895" s="33"/>
      <c r="N895" s="114"/>
      <c r="O895" s="34"/>
      <c r="P895" s="33"/>
      <c r="Q895" s="33"/>
      <c r="AA895" s="33"/>
      <c r="AB895" s="33"/>
      <c r="AC895" s="33"/>
      <c r="AD895" s="139"/>
      <c r="AE895" s="33"/>
      <c r="AL895" s="35"/>
      <c r="AV895" s="35"/>
      <c r="AW895" s="35"/>
      <c r="AX895" s="35"/>
      <c r="AY895" s="36"/>
      <c r="BF895" s="35"/>
      <c r="BG895" s="35"/>
      <c r="BO895" s="35"/>
      <c r="BP895" s="35"/>
      <c r="BW895" s="36"/>
      <c r="BX895" s="36"/>
      <c r="BY895" s="36"/>
      <c r="BZ895" s="36"/>
      <c r="CY895" s="33"/>
    </row>
    <row r="896" spans="2:103" s="32" customFormat="1" x14ac:dyDescent="0.15">
      <c r="B896" s="33"/>
      <c r="E896" s="35"/>
      <c r="H896" s="33"/>
      <c r="N896" s="114"/>
      <c r="O896" s="34"/>
      <c r="P896" s="33"/>
      <c r="Q896" s="33"/>
      <c r="AA896" s="33"/>
      <c r="AB896" s="33"/>
      <c r="AC896" s="33"/>
      <c r="AD896" s="139"/>
      <c r="AE896" s="33"/>
      <c r="AL896" s="35"/>
      <c r="AV896" s="35"/>
      <c r="AW896" s="35"/>
      <c r="AX896" s="35"/>
      <c r="AY896" s="36"/>
      <c r="BF896" s="35"/>
      <c r="BG896" s="35"/>
      <c r="BO896" s="35"/>
      <c r="BP896" s="35"/>
      <c r="BW896" s="36"/>
      <c r="BX896" s="36"/>
      <c r="BY896" s="36"/>
      <c r="BZ896" s="36"/>
      <c r="CY896" s="33"/>
    </row>
    <row r="897" spans="2:103" s="32" customFormat="1" x14ac:dyDescent="0.15">
      <c r="B897" s="33"/>
      <c r="E897" s="35"/>
      <c r="H897" s="33"/>
      <c r="N897" s="114"/>
      <c r="O897" s="34"/>
      <c r="P897" s="33"/>
      <c r="Q897" s="33"/>
      <c r="AA897" s="33"/>
      <c r="AB897" s="33"/>
      <c r="AC897" s="33"/>
      <c r="AD897" s="139"/>
      <c r="AE897" s="33"/>
      <c r="AL897" s="35"/>
      <c r="AV897" s="35"/>
      <c r="AW897" s="35"/>
      <c r="AX897" s="35"/>
      <c r="AY897" s="36"/>
      <c r="BF897" s="35"/>
      <c r="BG897" s="35"/>
      <c r="BO897" s="35"/>
      <c r="BP897" s="35"/>
      <c r="BW897" s="36"/>
      <c r="BX897" s="36"/>
      <c r="BY897" s="36"/>
      <c r="BZ897" s="36"/>
      <c r="CY897" s="33"/>
    </row>
    <row r="898" spans="2:103" s="32" customFormat="1" x14ac:dyDescent="0.15">
      <c r="B898" s="33"/>
      <c r="E898" s="35"/>
      <c r="H898" s="33"/>
      <c r="N898" s="114"/>
      <c r="O898" s="34"/>
      <c r="P898" s="33"/>
      <c r="Q898" s="33"/>
      <c r="AA898" s="33"/>
      <c r="AB898" s="33"/>
      <c r="AC898" s="33"/>
      <c r="AD898" s="139"/>
      <c r="AE898" s="33"/>
      <c r="AL898" s="35"/>
      <c r="AV898" s="35"/>
      <c r="AW898" s="35"/>
      <c r="AX898" s="35"/>
      <c r="AY898" s="36"/>
      <c r="BF898" s="35"/>
      <c r="BG898" s="35"/>
      <c r="BO898" s="35"/>
      <c r="BP898" s="35"/>
      <c r="BW898" s="36"/>
      <c r="BX898" s="36"/>
      <c r="BY898" s="36"/>
      <c r="BZ898" s="36"/>
      <c r="CY898" s="33"/>
    </row>
    <row r="899" spans="2:103" s="32" customFormat="1" x14ac:dyDescent="0.15">
      <c r="B899" s="33"/>
      <c r="E899" s="35"/>
      <c r="H899" s="33"/>
      <c r="N899" s="114"/>
      <c r="O899" s="34"/>
      <c r="P899" s="33"/>
      <c r="Q899" s="33"/>
      <c r="AA899" s="33"/>
      <c r="AB899" s="33"/>
      <c r="AC899" s="33"/>
      <c r="AD899" s="139"/>
      <c r="AE899" s="33"/>
      <c r="AL899" s="35"/>
      <c r="AV899" s="35"/>
      <c r="AW899" s="35"/>
      <c r="AX899" s="35"/>
      <c r="AY899" s="36"/>
      <c r="BF899" s="35"/>
      <c r="BG899" s="35"/>
      <c r="BO899" s="35"/>
      <c r="BP899" s="35"/>
      <c r="BW899" s="36"/>
      <c r="BX899" s="36"/>
      <c r="BY899" s="36"/>
      <c r="BZ899" s="36"/>
      <c r="CY899" s="33"/>
    </row>
    <row r="900" spans="2:103" s="32" customFormat="1" x14ac:dyDescent="0.15">
      <c r="B900" s="33"/>
      <c r="E900" s="35"/>
      <c r="H900" s="33"/>
      <c r="N900" s="114"/>
      <c r="O900" s="34"/>
      <c r="P900" s="33"/>
      <c r="Q900" s="33"/>
      <c r="AA900" s="33"/>
      <c r="AB900" s="33"/>
      <c r="AC900" s="33"/>
      <c r="AD900" s="139"/>
      <c r="AE900" s="33"/>
      <c r="AL900" s="35"/>
      <c r="AV900" s="35"/>
      <c r="AW900" s="35"/>
      <c r="AX900" s="35"/>
      <c r="AY900" s="36"/>
      <c r="BF900" s="35"/>
      <c r="BG900" s="35"/>
      <c r="BO900" s="35"/>
      <c r="BP900" s="35"/>
      <c r="BW900" s="36"/>
      <c r="BX900" s="36"/>
      <c r="BY900" s="36"/>
      <c r="BZ900" s="36"/>
      <c r="CY900" s="33"/>
    </row>
    <row r="901" spans="2:103" s="32" customFormat="1" x14ac:dyDescent="0.15">
      <c r="B901" s="33"/>
      <c r="E901" s="35"/>
      <c r="H901" s="33"/>
      <c r="N901" s="114"/>
      <c r="O901" s="34"/>
      <c r="P901" s="33"/>
      <c r="Q901" s="33"/>
      <c r="AA901" s="33"/>
      <c r="AB901" s="33"/>
      <c r="AC901" s="33"/>
      <c r="AD901" s="139"/>
      <c r="AE901" s="33"/>
      <c r="AL901" s="35"/>
      <c r="AV901" s="35"/>
      <c r="AW901" s="35"/>
      <c r="AX901" s="35"/>
      <c r="AY901" s="36"/>
      <c r="BF901" s="35"/>
      <c r="BG901" s="35"/>
      <c r="BO901" s="35"/>
      <c r="BP901" s="35"/>
      <c r="BW901" s="36"/>
      <c r="BX901" s="36"/>
      <c r="BY901" s="36"/>
      <c r="BZ901" s="36"/>
      <c r="CY901" s="33"/>
    </row>
  </sheetData>
  <mergeCells count="438">
    <mergeCell ref="AK11:AK12"/>
    <mergeCell ref="AK13:AK21"/>
    <mergeCell ref="AK7:AK8"/>
    <mergeCell ref="AK26:AK27"/>
    <mergeCell ref="AK24:AK25"/>
    <mergeCell ref="AK22:AK23"/>
    <mergeCell ref="G1:M1"/>
    <mergeCell ref="L36:L38"/>
    <mergeCell ref="L30:L34"/>
    <mergeCell ref="L24:L25"/>
    <mergeCell ref="AI13:AI21"/>
    <mergeCell ref="AB1:AC1"/>
    <mergeCell ref="AB5:AB6"/>
    <mergeCell ref="AB7:AB8"/>
    <mergeCell ref="AB11:AB12"/>
    <mergeCell ref="AB13:AB21"/>
    <mergeCell ref="AB22:AB23"/>
    <mergeCell ref="AB24:AB25"/>
    <mergeCell ref="AB26:AB27"/>
    <mergeCell ref="AB28:AB29"/>
    <mergeCell ref="AB30:AB34"/>
    <mergeCell ref="AB36:AB38"/>
    <mergeCell ref="AC5:AC6"/>
    <mergeCell ref="AC7:AC8"/>
    <mergeCell ref="AC28:AC29"/>
    <mergeCell ref="AC30:AC34"/>
    <mergeCell ref="AI36:AI38"/>
    <mergeCell ref="AI30:AI34"/>
    <mergeCell ref="AI11:AI12"/>
    <mergeCell ref="AD24:AD25"/>
    <mergeCell ref="AD36:AD38"/>
    <mergeCell ref="AD30:AD34"/>
    <mergeCell ref="AD28:AD29"/>
    <mergeCell ref="AD26:AD27"/>
    <mergeCell ref="AD22:AD23"/>
    <mergeCell ref="AD11:AD12"/>
    <mergeCell ref="CY1:CZ1"/>
    <mergeCell ref="CY28:CY29"/>
    <mergeCell ref="CZ28:CZ29"/>
    <mergeCell ref="CY30:CY34"/>
    <mergeCell ref="CZ30:CZ34"/>
    <mergeCell ref="BQ22:BQ23"/>
    <mergeCell ref="CX5:CX6"/>
    <mergeCell ref="CY5:CY6"/>
    <mergeCell ref="CZ5:CZ6"/>
    <mergeCell ref="CY7:CY8"/>
    <mergeCell ref="CZ7:CZ8"/>
    <mergeCell ref="CY11:CY12"/>
    <mergeCell ref="CZ11:CZ12"/>
    <mergeCell ref="CW22:CW23"/>
    <mergeCell ref="BQ5:BQ6"/>
    <mergeCell ref="BQ7:BQ8"/>
    <mergeCell ref="CW5:CW6"/>
    <mergeCell ref="BQ30:BQ34"/>
    <mergeCell ref="BQ28:BQ29"/>
    <mergeCell ref="BQ26:BQ27"/>
    <mergeCell ref="BQ24:BQ25"/>
    <mergeCell ref="CY36:CY38"/>
    <mergeCell ref="CZ36:CZ38"/>
    <mergeCell ref="CY22:CY23"/>
    <mergeCell ref="CZ22:CZ23"/>
    <mergeCell ref="CY24:CY25"/>
    <mergeCell ref="CZ24:CZ25"/>
    <mergeCell ref="CY26:CY27"/>
    <mergeCell ref="CZ26:CZ27"/>
    <mergeCell ref="BQ36:BQ38"/>
    <mergeCell ref="A13:A21"/>
    <mergeCell ref="D26:D27"/>
    <mergeCell ref="D28:D29"/>
    <mergeCell ref="C24:C25"/>
    <mergeCell ref="C22:C23"/>
    <mergeCell ref="C26:C27"/>
    <mergeCell ref="CX36:CX38"/>
    <mergeCell ref="CX30:CX34"/>
    <mergeCell ref="CX28:CX29"/>
    <mergeCell ref="CX26:CX27"/>
    <mergeCell ref="CX24:CX25"/>
    <mergeCell ref="CX22:CX23"/>
    <mergeCell ref="CX13:CX21"/>
    <mergeCell ref="BG22:BG23"/>
    <mergeCell ref="BG30:BG34"/>
    <mergeCell ref="BP24:BP25"/>
    <mergeCell ref="AI22:AI23"/>
    <mergeCell ref="A28:A29"/>
    <mergeCell ref="A26:A27"/>
    <mergeCell ref="A24:A25"/>
    <mergeCell ref="A22:A23"/>
    <mergeCell ref="P26:P27"/>
    <mergeCell ref="P24:P25"/>
    <mergeCell ref="Q24:Q25"/>
    <mergeCell ref="Q22:Q23"/>
    <mergeCell ref="P22:P23"/>
    <mergeCell ref="Q26:Q27"/>
    <mergeCell ref="BJ5:BJ6"/>
    <mergeCell ref="P1:Q1"/>
    <mergeCell ref="P5:P6"/>
    <mergeCell ref="P13:P21"/>
    <mergeCell ref="Q13:Q21"/>
    <mergeCell ref="Q11:Q12"/>
    <mergeCell ref="P11:P12"/>
    <mergeCell ref="S11:S12"/>
    <mergeCell ref="T11:T12"/>
    <mergeCell ref="V11:V12"/>
    <mergeCell ref="W5:W6"/>
    <mergeCell ref="W7:W8"/>
    <mergeCell ref="W11:W12"/>
    <mergeCell ref="W13:W21"/>
    <mergeCell ref="AM1:BI1"/>
    <mergeCell ref="R11:R12"/>
    <mergeCell ref="U5:U6"/>
    <mergeCell ref="AF5:AF6"/>
    <mergeCell ref="AG24:AG25"/>
    <mergeCell ref="AG26:AG27"/>
    <mergeCell ref="BB5:BI6"/>
    <mergeCell ref="R28:R29"/>
    <mergeCell ref="S36:S38"/>
    <mergeCell ref="R36:R38"/>
    <mergeCell ref="R22:R23"/>
    <mergeCell ref="S22:S23"/>
    <mergeCell ref="T36:T38"/>
    <mergeCell ref="W22:W23"/>
    <mergeCell ref="W24:W25"/>
    <mergeCell ref="W26:W27"/>
    <mergeCell ref="W28:W29"/>
    <mergeCell ref="S26:S27"/>
    <mergeCell ref="R26:R27"/>
    <mergeCell ref="T26:T27"/>
    <mergeCell ref="T24:T25"/>
    <mergeCell ref="V22:V23"/>
    <mergeCell ref="W36:W38"/>
    <mergeCell ref="W30:W34"/>
    <mergeCell ref="U22:U23"/>
    <mergeCell ref="U28:U29"/>
    <mergeCell ref="U30:U34"/>
    <mergeCell ref="F36:F38"/>
    <mergeCell ref="F11:F12"/>
    <mergeCell ref="AT13:AT21"/>
    <mergeCell ref="BG17:BG18"/>
    <mergeCell ref="BF19:BF21"/>
    <mergeCell ref="BF17:BF18"/>
    <mergeCell ref="AG28:AG29"/>
    <mergeCell ref="AG30:AG32"/>
    <mergeCell ref="AG37:AG38"/>
    <mergeCell ref="O13:O21"/>
    <mergeCell ref="BB11:BI12"/>
    <mergeCell ref="AF11:AF12"/>
    <mergeCell ref="AF13:AF14"/>
    <mergeCell ref="AF15:AF16"/>
    <mergeCell ref="AF17:AF18"/>
    <mergeCell ref="AF19:AF21"/>
    <mergeCell ref="X28:X29"/>
    <mergeCell ref="X26:X27"/>
    <mergeCell ref="V36:V38"/>
    <mergeCell ref="BF30:BF34"/>
    <mergeCell ref="V26:V27"/>
    <mergeCell ref="N36:N38"/>
    <mergeCell ref="N30:N34"/>
    <mergeCell ref="T30:T34"/>
    <mergeCell ref="O30:O34"/>
    <mergeCell ref="O36:O38"/>
    <mergeCell ref="V30:V34"/>
    <mergeCell ref="S30:S34"/>
    <mergeCell ref="AF36:AF38"/>
    <mergeCell ref="AF24:AF25"/>
    <mergeCell ref="AF26:AF27"/>
    <mergeCell ref="AF28:AF29"/>
    <mergeCell ref="AF30:AF34"/>
    <mergeCell ref="O24:O25"/>
    <mergeCell ref="O26:O27"/>
    <mergeCell ref="S28:S29"/>
    <mergeCell ref="R30:R34"/>
    <mergeCell ref="T28:T29"/>
    <mergeCell ref="Q36:Q38"/>
    <mergeCell ref="P36:P38"/>
    <mergeCell ref="Q30:Q34"/>
    <mergeCell ref="P30:P34"/>
    <mergeCell ref="Q28:Q29"/>
    <mergeCell ref="V24:V25"/>
    <mergeCell ref="S24:S25"/>
    <mergeCell ref="R24:R25"/>
    <mergeCell ref="U24:U25"/>
    <mergeCell ref="U26:U27"/>
    <mergeCell ref="BK1:BP1"/>
    <mergeCell ref="BQ1:CV1"/>
    <mergeCell ref="C11:C12"/>
    <mergeCell ref="C7:C8"/>
    <mergeCell ref="C28:C29"/>
    <mergeCell ref="F13:F21"/>
    <mergeCell ref="O28:O29"/>
    <mergeCell ref="O5:O6"/>
    <mergeCell ref="N5:N6"/>
    <mergeCell ref="N13:N21"/>
    <mergeCell ref="N7:N8"/>
    <mergeCell ref="N11:N12"/>
    <mergeCell ref="N24:N25"/>
    <mergeCell ref="N22:N23"/>
    <mergeCell ref="E11:E12"/>
    <mergeCell ref="E7:E8"/>
    <mergeCell ref="F5:F6"/>
    <mergeCell ref="G5:G6"/>
    <mergeCell ref="O11:O12"/>
    <mergeCell ref="O22:O23"/>
    <mergeCell ref="J24:J25"/>
    <mergeCell ref="D7:D8"/>
    <mergeCell ref="D22:D23"/>
    <mergeCell ref="V28:V29"/>
    <mergeCell ref="D24:D25"/>
    <mergeCell ref="H5:H6"/>
    <mergeCell ref="A5:A6"/>
    <mergeCell ref="A1:F1"/>
    <mergeCell ref="AG22:AG23"/>
    <mergeCell ref="AG7:AG8"/>
    <mergeCell ref="AG13:AG14"/>
    <mergeCell ref="AF22:AF23"/>
    <mergeCell ref="T22:T23"/>
    <mergeCell ref="F22:F23"/>
    <mergeCell ref="O7:O8"/>
    <mergeCell ref="R7:R8"/>
    <mergeCell ref="T7:T8"/>
    <mergeCell ref="V7:V8"/>
    <mergeCell ref="S7:S8"/>
    <mergeCell ref="D5:D6"/>
    <mergeCell ref="E5:E6"/>
    <mergeCell ref="E22:E23"/>
    <mergeCell ref="F7:F8"/>
    <mergeCell ref="C5:C6"/>
    <mergeCell ref="R13:R21"/>
    <mergeCell ref="S13:S21"/>
    <mergeCell ref="T13:T21"/>
    <mergeCell ref="V13:V21"/>
    <mergeCell ref="L7:L8"/>
    <mergeCell ref="BH17:BH18"/>
    <mergeCell ref="BJ7:BJ8"/>
    <mergeCell ref="CX7:CX8"/>
    <mergeCell ref="CY13:CY21"/>
    <mergeCell ref="CZ13:CZ21"/>
    <mergeCell ref="BQ13:BQ21"/>
    <mergeCell ref="BQ11:BQ12"/>
    <mergeCell ref="CX11:CX12"/>
    <mergeCell ref="BJ11:BJ12"/>
    <mergeCell ref="U7:U8"/>
    <mergeCell ref="U11:U12"/>
    <mergeCell ref="U13:U21"/>
    <mergeCell ref="AF7:AF8"/>
    <mergeCell ref="BE7:BE8"/>
    <mergeCell ref="BD7:BD8"/>
    <mergeCell ref="BC7:BC8"/>
    <mergeCell ref="BB7:BB8"/>
    <mergeCell ref="BF7:BF8"/>
    <mergeCell ref="BF13:BF14"/>
    <mergeCell ref="BG7:BG8"/>
    <mergeCell ref="BH7:BH8"/>
    <mergeCell ref="AI7:AI8"/>
    <mergeCell ref="AC11:AC12"/>
    <mergeCell ref="A30:A34"/>
    <mergeCell ref="A36:A38"/>
    <mergeCell ref="A7:A8"/>
    <mergeCell ref="A11:A12"/>
    <mergeCell ref="J36:J38"/>
    <mergeCell ref="U36:U38"/>
    <mergeCell ref="AA36:AA38"/>
    <mergeCell ref="C36:C38"/>
    <mergeCell ref="C30:C34"/>
    <mergeCell ref="E30:E34"/>
    <mergeCell ref="E28:E29"/>
    <mergeCell ref="E24:E25"/>
    <mergeCell ref="C13:C21"/>
    <mergeCell ref="D13:D21"/>
    <mergeCell ref="E13:E21"/>
    <mergeCell ref="E26:E27"/>
    <mergeCell ref="E36:E38"/>
    <mergeCell ref="F24:F25"/>
    <mergeCell ref="X24:X25"/>
    <mergeCell ref="X22:X23"/>
    <mergeCell ref="X13:X21"/>
    <mergeCell ref="X11:X12"/>
    <mergeCell ref="X36:X38"/>
    <mergeCell ref="X30:X34"/>
    <mergeCell ref="D30:D34"/>
    <mergeCell ref="D36:D38"/>
    <mergeCell ref="AX11:AX12"/>
    <mergeCell ref="AX24:AX25"/>
    <mergeCell ref="R1:Y1"/>
    <mergeCell ref="AF1:AH1"/>
    <mergeCell ref="AL5:AL6"/>
    <mergeCell ref="AL7:AL8"/>
    <mergeCell ref="AL11:AL12"/>
    <mergeCell ref="AL13:AL21"/>
    <mergeCell ref="AL22:AL23"/>
    <mergeCell ref="AL24:AL25"/>
    <mergeCell ref="AL26:AL27"/>
    <mergeCell ref="AL36:AL38"/>
    <mergeCell ref="AT24:AT25"/>
    <mergeCell ref="F26:F27"/>
    <mergeCell ref="F28:F29"/>
    <mergeCell ref="F30:F34"/>
    <mergeCell ref="G7:G8"/>
    <mergeCell ref="H36:H38"/>
    <mergeCell ref="AA7:AA8"/>
    <mergeCell ref="AA11:AA12"/>
    <mergeCell ref="AA13:AA21"/>
    <mergeCell ref="AA26:AA27"/>
    <mergeCell ref="G36:G38"/>
    <mergeCell ref="G30:G34"/>
    <mergeCell ref="G11:G12"/>
    <mergeCell ref="H11:H12"/>
    <mergeCell ref="H7:H8"/>
    <mergeCell ref="H30:H33"/>
    <mergeCell ref="H28:H29"/>
    <mergeCell ref="H17:H21"/>
    <mergeCell ref="H24:H25"/>
    <mergeCell ref="G24:G25"/>
    <mergeCell ref="G19:G20"/>
    <mergeCell ref="H13:H14"/>
    <mergeCell ref="G13:G14"/>
    <mergeCell ref="G17:G18"/>
    <mergeCell ref="G15:G16"/>
    <mergeCell ref="D11:D12"/>
    <mergeCell ref="N26:N27"/>
    <mergeCell ref="N28:N29"/>
    <mergeCell ref="Q5:Q6"/>
    <mergeCell ref="R5:R6"/>
    <mergeCell ref="S5:S6"/>
    <mergeCell ref="T5:T6"/>
    <mergeCell ref="V5:V6"/>
    <mergeCell ref="AH36:AH38"/>
    <mergeCell ref="AH30:AH34"/>
    <mergeCell ref="AH26:AH27"/>
    <mergeCell ref="AH24:AH25"/>
    <mergeCell ref="AH22:AH23"/>
    <mergeCell ref="AH13:AH21"/>
    <mergeCell ref="AH7:AH8"/>
    <mergeCell ref="AH5:AH6"/>
    <mergeCell ref="Y5:Y6"/>
    <mergeCell ref="Y7:Y8"/>
    <mergeCell ref="Y11:Y12"/>
    <mergeCell ref="Y13:Y21"/>
    <mergeCell ref="P28:P29"/>
    <mergeCell ref="P7:P8"/>
    <mergeCell ref="Q7:Q8"/>
    <mergeCell ref="X5:X6"/>
    <mergeCell ref="Z36:Z38"/>
    <mergeCell ref="Z28:Z29"/>
    <mergeCell ref="Z30:Z34"/>
    <mergeCell ref="Z26:Z27"/>
    <mergeCell ref="Z24:Z25"/>
    <mergeCell ref="Z22:Z23"/>
    <mergeCell ref="Z13:Z21"/>
    <mergeCell ref="Y30:Y34"/>
    <mergeCell ref="Y28:Y29"/>
    <mergeCell ref="Y26:Y27"/>
    <mergeCell ref="Y36:Y38"/>
    <mergeCell ref="Y24:Y25"/>
    <mergeCell ref="Y22:Y23"/>
    <mergeCell ref="BF15:BF16"/>
    <mergeCell ref="AT7:AT8"/>
    <mergeCell ref="X7:X8"/>
    <mergeCell ref="Z11:Z12"/>
    <mergeCell ref="Z7:Z8"/>
    <mergeCell ref="Z5:Z6"/>
    <mergeCell ref="AL28:AL29"/>
    <mergeCell ref="AL30:AL34"/>
    <mergeCell ref="AH28:AH29"/>
    <mergeCell ref="AE1:AE39"/>
    <mergeCell ref="AA30:AA34"/>
    <mergeCell ref="AA22:AA23"/>
    <mergeCell ref="AA24:AA25"/>
    <mergeCell ref="AT28:AT29"/>
    <mergeCell ref="AA28:AA29"/>
    <mergeCell ref="AT30:AT34"/>
    <mergeCell ref="AI5:AI6"/>
    <mergeCell ref="AI26:AI27"/>
    <mergeCell ref="AI24:AI25"/>
    <mergeCell ref="AC36:AC38"/>
    <mergeCell ref="AC13:AC21"/>
    <mergeCell ref="AC22:AC23"/>
    <mergeCell ref="AC24:AC25"/>
    <mergeCell ref="AC26:AC27"/>
    <mergeCell ref="BH19:BH21"/>
    <mergeCell ref="BG19:BG21"/>
    <mergeCell ref="BF36:BF38"/>
    <mergeCell ref="AA5:AA6"/>
    <mergeCell ref="CW24:CW25"/>
    <mergeCell ref="CW26:CW27"/>
    <mergeCell ref="CW28:CW29"/>
    <mergeCell ref="CW30:CW34"/>
    <mergeCell ref="CW36:CW38"/>
    <mergeCell ref="CW13:CW21"/>
    <mergeCell ref="CW11:CW12"/>
    <mergeCell ref="CW7:CW8"/>
    <mergeCell ref="BC17:BC18"/>
    <mergeCell ref="BB17:BB18"/>
    <mergeCell ref="BJ13:BJ21"/>
    <mergeCell ref="BJ36:BJ38"/>
    <mergeCell ref="BJ30:BJ34"/>
    <mergeCell ref="BJ28:BJ29"/>
    <mergeCell ref="BJ26:BJ27"/>
    <mergeCell ref="BJ22:BJ23"/>
    <mergeCell ref="BI22:BI23"/>
    <mergeCell ref="BH22:BH23"/>
    <mergeCell ref="BH30:BH34"/>
    <mergeCell ref="BB24:BJ25"/>
    <mergeCell ref="AD7:AD8"/>
    <mergeCell ref="AD13:AD21"/>
    <mergeCell ref="BB4:BJ4"/>
    <mergeCell ref="BI7:BI8"/>
    <mergeCell ref="BE30:BE34"/>
    <mergeCell ref="BD30:BD34"/>
    <mergeCell ref="BC30:BC34"/>
    <mergeCell ref="BB30:BB34"/>
    <mergeCell ref="BE13:BE14"/>
    <mergeCell ref="BD13:BD14"/>
    <mergeCell ref="BC13:BC14"/>
    <mergeCell ref="BB13:BB14"/>
    <mergeCell ref="BE15:BE16"/>
    <mergeCell ref="BD15:BD16"/>
    <mergeCell ref="BC15:BC16"/>
    <mergeCell ref="BB15:BB16"/>
    <mergeCell ref="BB19:BB21"/>
    <mergeCell ref="BC19:BC21"/>
    <mergeCell ref="BD19:BD21"/>
    <mergeCell ref="BE19:BE21"/>
    <mergeCell ref="BE17:BE18"/>
    <mergeCell ref="BD17:BD18"/>
    <mergeCell ref="BG13:BG14"/>
    <mergeCell ref="BG15:BG16"/>
    <mergeCell ref="BE26:BE27"/>
    <mergeCell ref="BD26:BD27"/>
    <mergeCell ref="BC26:BC27"/>
    <mergeCell ref="BB26:BB27"/>
    <mergeCell ref="BE28:BE29"/>
    <mergeCell ref="BD28:BD29"/>
    <mergeCell ref="BC28:BC29"/>
    <mergeCell ref="BB28:BB29"/>
    <mergeCell ref="BE36:BE38"/>
    <mergeCell ref="BD36:BD38"/>
    <mergeCell ref="BC36:BC38"/>
    <mergeCell ref="BB36:BB38"/>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Web of Science Search Results</vt:lpstr>
      <vt:lpstr>WoS post title &amp; abstract scan</vt:lpstr>
      <vt:lpstr>Scopus Search Results</vt:lpstr>
      <vt:lpstr>Scopus post title&amp;abstract scan</vt:lpstr>
      <vt:lpstr>Combination WoS &amp; Scopus</vt:lpstr>
      <vt:lpstr>SM of shrimp LCA review</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Author</cp:lastModifiedBy>
  <dcterms:created xsi:type="dcterms:W3CDTF">2024-01-19T16:39:27Z</dcterms:created>
  <dcterms:modified xsi:type="dcterms:W3CDTF">2025-12-09T15:47:27Z</dcterms:modified>
</cp:coreProperties>
</file>