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hertyt\Desktop\ArrayPaperData\"/>
    </mc:Choice>
  </mc:AlternateContent>
  <xr:revisionPtr revIDLastSave="0" documentId="8_{63883718-147E-4F9B-A4A3-C48A890B04AA}" xr6:coauthVersionLast="47" xr6:coauthVersionMax="47" xr10:uidLastSave="{00000000-0000-0000-0000-000000000000}"/>
  <bookViews>
    <workbookView xWindow="41115" yWindow="2610" windowWidth="28800" windowHeight="15555" xr2:uid="{25BE9380-B7B3-46E9-A94C-BEF66F88FE86}"/>
  </bookViews>
  <sheets>
    <sheet name="Overview" sheetId="1" r:id="rId1"/>
    <sheet name="Experiment 1" sheetId="2" r:id="rId2"/>
    <sheet name="Experiment 2" sheetId="3" r:id="rId3"/>
    <sheet name="Experiment 3" sheetId="4" r:id="rId4"/>
    <sheet name="Experiment 4" sheetId="8" r:id="rId5"/>
    <sheet name="Experiment 5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8" i="4" l="1"/>
  <c r="S28" i="4" s="1"/>
  <c r="Q28" i="4"/>
  <c r="R16" i="4"/>
  <c r="S16" i="4" s="1"/>
  <c r="Q16" i="4"/>
  <c r="E13" i="8" l="1"/>
  <c r="E14" i="8"/>
  <c r="E15" i="8"/>
  <c r="E16" i="8"/>
  <c r="E17" i="8"/>
  <c r="E27" i="8"/>
  <c r="E26" i="8"/>
  <c r="E25" i="8"/>
  <c r="E23" i="8"/>
  <c r="E24" i="8"/>
  <c r="E22" i="8"/>
  <c r="E21" i="8"/>
  <c r="E8" i="8"/>
  <c r="E9" i="8"/>
  <c r="E10" i="8"/>
  <c r="H8" i="8" s="1"/>
  <c r="E11" i="8"/>
  <c r="E12" i="8"/>
  <c r="E20" i="8"/>
  <c r="E19" i="8"/>
  <c r="E18" i="8"/>
  <c r="B11" i="7"/>
  <c r="D10" i="7"/>
  <c r="D9" i="7"/>
  <c r="B8" i="7"/>
  <c r="D6" i="7"/>
  <c r="D7" i="7"/>
  <c r="D5" i="7"/>
  <c r="F28" i="4"/>
  <c r="F29" i="4"/>
  <c r="F30" i="4"/>
  <c r="F31" i="4"/>
  <c r="F32" i="4"/>
  <c r="F23" i="4"/>
  <c r="F24" i="4"/>
  <c r="F25" i="4"/>
  <c r="F26" i="4"/>
  <c r="F27" i="4"/>
  <c r="F18" i="4"/>
  <c r="F19" i="4"/>
  <c r="F20" i="4"/>
  <c r="F21" i="4"/>
  <c r="F22" i="4"/>
  <c r="F13" i="4"/>
  <c r="F14" i="4"/>
  <c r="F15" i="4"/>
  <c r="F16" i="4"/>
  <c r="F17" i="4"/>
  <c r="F9" i="4"/>
  <c r="F10" i="4"/>
  <c r="F11" i="4"/>
  <c r="F12" i="4"/>
  <c r="F8" i="4"/>
  <c r="N11" i="1"/>
  <c r="N6" i="1"/>
  <c r="F20" i="3"/>
  <c r="G20" i="3"/>
  <c r="G7" i="3"/>
  <c r="F7" i="3"/>
  <c r="F16" i="2"/>
  <c r="G16" i="2"/>
  <c r="H16" i="2" s="1"/>
  <c r="G7" i="2"/>
  <c r="F7" i="2"/>
  <c r="I8" i="4" l="1"/>
  <c r="E6" i="1" s="1"/>
  <c r="B12" i="7"/>
  <c r="D10" i="1" s="1"/>
  <c r="I8" i="8"/>
  <c r="E7" i="1" s="1"/>
  <c r="J8" i="8"/>
  <c r="H8" i="4"/>
  <c r="H7" i="2"/>
  <c r="C8" i="7"/>
  <c r="C11" i="7"/>
  <c r="D11" i="7" s="1"/>
  <c r="A28" i="3"/>
  <c r="D5" i="1" s="1"/>
  <c r="H20" i="3"/>
  <c r="H7" i="3"/>
  <c r="A29" i="2"/>
  <c r="C29" i="2"/>
  <c r="C28" i="3" l="1"/>
  <c r="L8" i="8"/>
  <c r="F7" i="1" s="1"/>
  <c r="K8" i="8"/>
  <c r="M8" i="8" s="1"/>
  <c r="G7" i="1" s="1"/>
  <c r="D7" i="1"/>
  <c r="J8" i="4"/>
  <c r="D6" i="1"/>
  <c r="C12" i="7"/>
  <c r="D8" i="7"/>
  <c r="E28" i="3"/>
  <c r="F5" i="1" s="1"/>
  <c r="B28" i="3"/>
  <c r="B29" i="2"/>
  <c r="E4" i="1" s="1"/>
  <c r="D4" i="1"/>
  <c r="E29" i="2"/>
  <c r="F4" i="1" s="1"/>
  <c r="D29" i="2"/>
  <c r="F29" i="2" s="1"/>
  <c r="G4" i="1" s="1"/>
  <c r="D12" i="7" l="1"/>
  <c r="E10" i="1"/>
  <c r="L8" i="4"/>
  <c r="F6" i="1" s="1"/>
  <c r="K8" i="4"/>
  <c r="D28" i="3"/>
  <c r="F28" i="3" s="1"/>
  <c r="G5" i="1" s="1"/>
  <c r="E5" i="1"/>
  <c r="M8" i="4" l="1"/>
  <c r="G6" i="1"/>
</calcChain>
</file>

<file path=xl/sharedStrings.xml><?xml version="1.0" encoding="utf-8"?>
<sst xmlns="http://schemas.openxmlformats.org/spreadsheetml/2006/main" count="327" uniqueCount="147">
  <si>
    <t>Results Overview</t>
  </si>
  <si>
    <t>Pyramid</t>
  </si>
  <si>
    <t>B</t>
  </si>
  <si>
    <t>Reference</t>
  </si>
  <si>
    <t>OC</t>
  </si>
  <si>
    <t>Finesse</t>
  </si>
  <si>
    <t>Error</t>
  </si>
  <si>
    <t>Date</t>
  </si>
  <si>
    <t>Exp Date</t>
  </si>
  <si>
    <t>Static Loss Measurement</t>
  </si>
  <si>
    <t>A</t>
  </si>
  <si>
    <t>HR</t>
  </si>
  <si>
    <t>Resolved Birefringence</t>
  </si>
  <si>
    <t>Length Scan</t>
  </si>
  <si>
    <t>ID</t>
  </si>
  <si>
    <t>Exp. 1</t>
  </si>
  <si>
    <t>Exp. 2</t>
  </si>
  <si>
    <t>Exp. 3</t>
  </si>
  <si>
    <t>Exp. 4</t>
  </si>
  <si>
    <t>Measurement Notes</t>
  </si>
  <si>
    <t>Fitting Notes: Integration between fundemental modes, piezo nonlinearity fitted using second order polynomial.</t>
  </si>
  <si>
    <t>Data ID</t>
  </si>
  <si>
    <t>FSR</t>
  </si>
  <si>
    <t>2020_11_03</t>
  </si>
  <si>
    <t>mset_3_fsr_1</t>
  </si>
  <si>
    <t>mset_3_fsr_2</t>
  </si>
  <si>
    <t>mset_3_fsr_3</t>
  </si>
  <si>
    <t>mset_4_fsr_3</t>
  </si>
  <si>
    <t>mset_3_fsr_4</t>
  </si>
  <si>
    <t>mset_3_fsr_5</t>
  </si>
  <si>
    <t>FSR Mean</t>
  </si>
  <si>
    <t xml:space="preserve"> FSR SD</t>
  </si>
  <si>
    <t>LW</t>
  </si>
  <si>
    <t>mset_1_lw_1</t>
  </si>
  <si>
    <t>mset_1_lw_2</t>
  </si>
  <si>
    <t>mset_1_lw_3</t>
  </si>
  <si>
    <t>mset_1_lw_4</t>
  </si>
  <si>
    <t>mset_1_lw_5</t>
  </si>
  <si>
    <t>mset_2_lw_1</t>
  </si>
  <si>
    <t>mset_2_lw_2</t>
  </si>
  <si>
    <t>mset_2_lw_3</t>
  </si>
  <si>
    <t>mset_2_lw_4</t>
  </si>
  <si>
    <t>mset_2_lw_5</t>
  </si>
  <si>
    <t>LW Mean</t>
  </si>
  <si>
    <t>LW SD</t>
  </si>
  <si>
    <t>LW Error (%)</t>
  </si>
  <si>
    <t>FSR Error (%)</t>
  </si>
  <si>
    <t>Total Loss</t>
  </si>
  <si>
    <t>Pyramid Loss</t>
  </si>
  <si>
    <t>Fitting Notes:</t>
  </si>
  <si>
    <t>None</t>
  </si>
  <si>
    <t>Pyramidal Mirror ID: B</t>
  </si>
  <si>
    <t>2020_10_07</t>
  </si>
  <si>
    <t>mset_1_fsr_1</t>
  </si>
  <si>
    <t>mset_1_fsr_2</t>
  </si>
  <si>
    <t>mset_1_fsr_3</t>
  </si>
  <si>
    <t>mset_1_fsr_4</t>
  </si>
  <si>
    <t>mset_1_fsr_5</t>
  </si>
  <si>
    <t>mset_1_fsr_6</t>
  </si>
  <si>
    <t>mset_1_fsr_7</t>
  </si>
  <si>
    <t>mset_1_fsr_8</t>
  </si>
  <si>
    <t>mset_1_fsr_9</t>
  </si>
  <si>
    <t>Pyramidal Mirror ID: A</t>
  </si>
  <si>
    <t xml:space="preserve">Reference Mirror Properties: </t>
  </si>
  <si>
    <t>REO OC</t>
  </si>
  <si>
    <t>REO HR</t>
  </si>
  <si>
    <t>36 Degree Waveplate Angle - Lower Birefringent Linewidth Recorded</t>
  </si>
  <si>
    <t>mset_4_fsr_1</t>
  </si>
  <si>
    <t>mset_4_fsr_4</t>
  </si>
  <si>
    <t>mset_4_fsr_2</t>
  </si>
  <si>
    <t>mset_4_fsr_5</t>
  </si>
  <si>
    <t>mset_4_lw_1</t>
  </si>
  <si>
    <t>mset_4_lw_4</t>
  </si>
  <si>
    <t>mset_4_lw_2</t>
  </si>
  <si>
    <t>mset_4_lw_3</t>
  </si>
  <si>
    <t>mset_4_lw_5</t>
  </si>
  <si>
    <t>mset_5_fsr_1</t>
  </si>
  <si>
    <t>mset_5_fsr_2</t>
  </si>
  <si>
    <t>mset_5_fsr_3</t>
  </si>
  <si>
    <t>mset_5_fsr_4</t>
  </si>
  <si>
    <t>mset_5_fsr_5</t>
  </si>
  <si>
    <t>mset_5_lw_1</t>
  </si>
  <si>
    <t>mset_5_lw_2</t>
  </si>
  <si>
    <t>mset_5_lw_3</t>
  </si>
  <si>
    <t>mset_5_lw_4</t>
  </si>
  <si>
    <t>mset_5_lw_5</t>
  </si>
  <si>
    <t>2020_10_19</t>
  </si>
  <si>
    <t>mset_6_fsr_1</t>
  </si>
  <si>
    <t>mset_8_fsr_1</t>
  </si>
  <si>
    <t>mset_6_fsr_2</t>
  </si>
  <si>
    <t>mset_6_fsr_3</t>
  </si>
  <si>
    <t>mset_6_fsr_4</t>
  </si>
  <si>
    <t>mset_6_fsr_5</t>
  </si>
  <si>
    <t>mset_6_lw_1</t>
  </si>
  <si>
    <t>mset_6_lw_2</t>
  </si>
  <si>
    <t>mset_6_lw_3</t>
  </si>
  <si>
    <t>mset_6_lw_4</t>
  </si>
  <si>
    <t>mset_6_lw_5</t>
  </si>
  <si>
    <t>mset_7_fsr_1</t>
  </si>
  <si>
    <t>mset_7_fsr_2</t>
  </si>
  <si>
    <t>mset_7_fsr_3</t>
  </si>
  <si>
    <t>mset_7_fsr_4</t>
  </si>
  <si>
    <t>mset_7_fsr_5</t>
  </si>
  <si>
    <t>mset_7_lw_1</t>
  </si>
  <si>
    <t>mset_7_lw_2</t>
  </si>
  <si>
    <t>mset_7_lw_3</t>
  </si>
  <si>
    <t>mset_7_lw_4</t>
  </si>
  <si>
    <t>mset_7_lw_5</t>
  </si>
  <si>
    <t>mset_8_fsr_2</t>
  </si>
  <si>
    <t>mset_8_fsr_3</t>
  </si>
  <si>
    <t>mset_8_fsr_4</t>
  </si>
  <si>
    <t>mset_8_fsr_5</t>
  </si>
  <si>
    <t>mset_8_lw_1</t>
  </si>
  <si>
    <t>mset_8_lw_2</t>
  </si>
  <si>
    <t>mset_8_lw_3</t>
  </si>
  <si>
    <t>mset_8_lw_4</t>
  </si>
  <si>
    <t>mset_8_lw_5</t>
  </si>
  <si>
    <t>FSR Notes: Integration between fundemental modes, piezo nonlinearity fitted using second order polynomial.</t>
  </si>
  <si>
    <t>LW Fitting Notes: None.</t>
  </si>
  <si>
    <t>Quantity</t>
  </si>
  <si>
    <t>Value</t>
  </si>
  <si>
    <t>Power Transmitted (W)</t>
  </si>
  <si>
    <t>Power Cancelled (W)</t>
  </si>
  <si>
    <t>Transmission PD (V)</t>
  </si>
  <si>
    <t>PD Calibration (W/V)</t>
  </si>
  <si>
    <t>Error (%)</t>
  </si>
  <si>
    <t>Backreflected PD Drop (V)</t>
  </si>
  <si>
    <t>Transmission (ppm)</t>
  </si>
  <si>
    <t>Notes:</t>
  </si>
  <si>
    <t>Result obtained from Experiment 1</t>
  </si>
  <si>
    <t>Averaged over 500 measurements</t>
  </si>
  <si>
    <t>Higher error due to polarisation optics and ND filter characterisation</t>
  </si>
  <si>
    <t>T (ppm)</t>
  </si>
  <si>
    <t>Exp. 5</t>
  </si>
  <si>
    <t>Reference Mirror ID: REO OC</t>
  </si>
  <si>
    <t>Reference Mirror ID: REO HR</t>
  </si>
  <si>
    <t>C</t>
  </si>
  <si>
    <t>LW Fitting Notes: Fitted from FSR Scan</t>
  </si>
  <si>
    <t>Pyramidal Mirror ID: C</t>
  </si>
  <si>
    <t>Low ROC Feature</t>
  </si>
  <si>
    <t>Loss (ppm)</t>
  </si>
  <si>
    <t>Error (ppm)</t>
  </si>
  <si>
    <t>Transmission (ppm):</t>
  </si>
  <si>
    <t>Incoherent Loss (ppm):</t>
  </si>
  <si>
    <t>Total Loss (ppm):</t>
  </si>
  <si>
    <t>Mean</t>
  </si>
  <si>
    <t>Figure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</si>
</sst>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6">
    <xf numFmtId="0" fontId="0" fillId="0" borderId="0" xfId="0"/>
    <xf numFmtId="0" fontId="2" fillId="0" borderId="0" xfId="0" applyFont="1"/>
    <xf numFmtId="11" fontId="0" fillId="0" borderId="0" xfId="0" applyNumberFormat="1"/>
    <xf numFmtId="1" fontId="0" fillId="0" borderId="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1" fontId="0" fillId="0" borderId="4" xfId="0" applyNumberFormat="1" applyBorder="1"/>
    <xf numFmtId="11" fontId="0" fillId="0" borderId="4" xfId="0" applyNumberFormat="1" applyBorder="1" applyAlignment="1">
      <alignment horizontal="center"/>
    </xf>
    <xf numFmtId="11" fontId="0" fillId="0" borderId="5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1" fontId="0" fillId="0" borderId="6" xfId="0" applyNumberFormat="1" applyBorder="1"/>
    <xf numFmtId="11" fontId="0" fillId="0" borderId="8" xfId="0" applyNumberFormat="1" applyBorder="1"/>
    <xf numFmtId="11" fontId="0" fillId="0" borderId="0" xfId="0" applyNumberFormat="1" applyBorder="1"/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13" xfId="0" applyNumberFormat="1" applyBorder="1"/>
    <xf numFmtId="14" fontId="0" fillId="0" borderId="14" xfId="0" applyNumberFormat="1" applyBorder="1"/>
    <xf numFmtId="0" fontId="0" fillId="0" borderId="5" xfId="0" applyBorder="1" applyAlignment="1">
      <alignment horizontal="center"/>
    </xf>
    <xf numFmtId="0" fontId="2" fillId="2" borderId="9" xfId="1" applyFont="1" applyBorder="1"/>
    <xf numFmtId="0" fontId="2" fillId="2" borderId="11" xfId="1" applyFont="1" applyBorder="1"/>
    <xf numFmtId="0" fontId="2" fillId="2" borderId="10" xfId="1" applyFont="1" applyBorder="1"/>
    <xf numFmtId="0" fontId="2" fillId="2" borderId="11" xfId="1" applyFont="1" applyBorder="1" applyAlignment="1">
      <alignment horizontal="center"/>
    </xf>
    <xf numFmtId="0" fontId="2" fillId="2" borderId="9" xfId="1" applyFont="1" applyBorder="1" applyAlignment="1">
      <alignment horizontal="center"/>
    </xf>
    <xf numFmtId="0" fontId="2" fillId="2" borderId="10" xfId="1" applyFont="1" applyBorder="1" applyAlignment="1">
      <alignment horizontal="center"/>
    </xf>
    <xf numFmtId="0" fontId="2" fillId="2" borderId="1" xfId="1" applyFont="1" applyBorder="1" applyAlignment="1">
      <alignment horizontal="center"/>
    </xf>
    <xf numFmtId="0" fontId="0" fillId="0" borderId="7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1" fontId="0" fillId="0" borderId="12" xfId="0" applyNumberFormat="1" applyBorder="1"/>
    <xf numFmtId="1" fontId="0" fillId="0" borderId="13" xfId="0" applyNumberFormat="1" applyBorder="1"/>
    <xf numFmtId="1" fontId="0" fillId="0" borderId="14" xfId="0" applyNumberFormat="1" applyBorder="1"/>
    <xf numFmtId="11" fontId="0" fillId="0" borderId="2" xfId="0" applyNumberFormat="1" applyBorder="1"/>
    <xf numFmtId="11" fontId="0" fillId="0" borderId="3" xfId="0" applyNumberFormat="1" applyBorder="1"/>
    <xf numFmtId="11" fontId="0" fillId="0" borderId="7" xfId="0" applyNumberFormat="1" applyBorder="1"/>
    <xf numFmtId="10" fontId="0" fillId="0" borderId="0" xfId="0" applyNumberFormat="1"/>
    <xf numFmtId="11" fontId="0" fillId="0" borderId="15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1" fontId="2" fillId="0" borderId="5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7" xfId="0" applyFont="1" applyBorder="1" applyAlignment="1">
      <alignment horizontal="left"/>
    </xf>
    <xf numFmtId="1" fontId="0" fillId="0" borderId="18" xfId="0" applyNumberFormat="1" applyBorder="1" applyAlignment="1">
      <alignment horizontal="left"/>
    </xf>
    <xf numFmtId="0" fontId="0" fillId="0" borderId="19" xfId="0" applyBorder="1" applyAlignment="1">
      <alignment horizontal="left"/>
    </xf>
    <xf numFmtId="0" fontId="2" fillId="0" borderId="20" xfId="0" applyFont="1" applyBorder="1"/>
    <xf numFmtId="0" fontId="1" fillId="3" borderId="16" xfId="2" applyBorder="1" applyAlignment="1">
      <alignment horizontal="center"/>
    </xf>
    <xf numFmtId="2" fontId="1" fillId="3" borderId="21" xfId="2" applyNumberFormat="1" applyBorder="1" applyAlignment="1">
      <alignment horizontal="center"/>
    </xf>
    <xf numFmtId="0" fontId="1" fillId="3" borderId="22" xfId="2" applyBorder="1"/>
    <xf numFmtId="0" fontId="1" fillId="3" borderId="23" xfId="2" applyBorder="1"/>
    <xf numFmtId="11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1" fontId="0" fillId="0" borderId="0" xfId="0" applyNumberFormat="1" applyBorder="1" applyAlignment="1">
      <alignment horizontal="center"/>
    </xf>
    <xf numFmtId="2" fontId="1" fillId="3" borderId="24" xfId="2" applyNumberFormat="1" applyBorder="1" applyAlignment="1">
      <alignment horizontal="center"/>
    </xf>
    <xf numFmtId="10" fontId="2" fillId="0" borderId="10" xfId="0" applyNumberFormat="1" applyFont="1" applyBorder="1" applyAlignment="1">
      <alignment horizontal="center"/>
    </xf>
    <xf numFmtId="10" fontId="0" fillId="0" borderId="15" xfId="0" applyNumberFormat="1" applyBorder="1" applyAlignment="1">
      <alignment horizontal="center"/>
    </xf>
    <xf numFmtId="10" fontId="2" fillId="0" borderId="5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10" fontId="1" fillId="3" borderId="24" xfId="2" applyNumberFormat="1" applyBorder="1" applyAlignment="1">
      <alignment horizontal="center"/>
    </xf>
    <xf numFmtId="10" fontId="1" fillId="3" borderId="25" xfId="2" applyNumberFormat="1" applyBorder="1" applyAlignment="1">
      <alignment horizontal="center"/>
    </xf>
    <xf numFmtId="10" fontId="0" fillId="0" borderId="27" xfId="0" applyNumberFormat="1" applyBorder="1" applyAlignment="1">
      <alignment horizontal="left"/>
    </xf>
    <xf numFmtId="10" fontId="0" fillId="0" borderId="28" xfId="0" applyNumberFormat="1" applyBorder="1" applyAlignment="1">
      <alignment horizontal="left"/>
    </xf>
    <xf numFmtId="10" fontId="2" fillId="0" borderId="29" xfId="0" applyNumberFormat="1" applyFont="1" applyBorder="1" applyAlignment="1">
      <alignment horizontal="left"/>
    </xf>
    <xf numFmtId="10" fontId="1" fillId="3" borderId="30" xfId="2" applyNumberFormat="1" applyBorder="1" applyAlignment="1">
      <alignment horizontal="center"/>
    </xf>
    <xf numFmtId="10" fontId="0" fillId="0" borderId="26" xfId="0" applyNumberFormat="1" applyFont="1" applyBorder="1" applyAlignment="1">
      <alignment horizontal="left"/>
    </xf>
    <xf numFmtId="0" fontId="0" fillId="0" borderId="9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4" fontId="0" fillId="0" borderId="15" xfId="0" applyNumberFormat="1" applyBorder="1"/>
    <xf numFmtId="0" fontId="0" fillId="0" borderId="15" xfId="0" applyBorder="1"/>
    <xf numFmtId="0" fontId="0" fillId="0" borderId="3" xfId="0" applyNumberFormat="1" applyBorder="1"/>
    <xf numFmtId="14" fontId="0" fillId="0" borderId="0" xfId="0" applyNumberFormat="1" applyBorder="1"/>
    <xf numFmtId="0" fontId="0" fillId="0" borderId="8" xfId="0" applyNumberFormat="1" applyBorder="1"/>
    <xf numFmtId="14" fontId="0" fillId="0" borderId="5" xfId="0" applyNumberFormat="1" applyBorder="1"/>
    <xf numFmtId="0" fontId="0" fillId="0" borderId="6" xfId="0" applyNumberFormat="1" applyBorder="1"/>
    <xf numFmtId="11" fontId="0" fillId="0" borderId="2" xfId="0" applyNumberFormat="1" applyBorder="1" applyAlignment="1">
      <alignment horizontal="center"/>
    </xf>
    <xf numFmtId="11" fontId="0" fillId="0" borderId="3" xfId="0" applyNumberFormat="1" applyBorder="1" applyAlignment="1">
      <alignment horizontal="center"/>
    </xf>
    <xf numFmtId="164" fontId="0" fillId="0" borderId="0" xfId="0" applyNumberFormat="1"/>
    <xf numFmtId="11" fontId="0" fillId="0" borderId="5" xfId="0" applyNumberFormat="1" applyBorder="1"/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</cellXfs>
  <cellStyles count="3">
    <cellStyle name="20% - Accent3" xfId="1" builtinId="38"/>
    <cellStyle name="40% - Accent3" xfId="2" builtinId="3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93AED-A230-4EBC-991B-C31FA392C9DD}">
  <dimension ref="A1:P12"/>
  <sheetViews>
    <sheetView tabSelected="1" workbookViewId="0">
      <selection activeCell="C15" sqref="C15"/>
    </sheetView>
  </sheetViews>
  <sheetFormatPr defaultRowHeight="15" x14ac:dyDescent="0.25"/>
  <cols>
    <col min="2" max="2" width="9.28515625" customWidth="1"/>
    <col min="3" max="3" width="10.140625" bestFit="1" customWidth="1"/>
    <col min="5" max="5" width="11.140625" bestFit="1" customWidth="1"/>
    <col min="6" max="6" width="10.7109375" bestFit="1" customWidth="1"/>
    <col min="7" max="7" width="11.140625" bestFit="1" customWidth="1"/>
    <col min="8" max="8" width="10.7109375" bestFit="1" customWidth="1"/>
    <col min="13" max="13" width="27.5703125" bestFit="1" customWidth="1"/>
  </cols>
  <sheetData>
    <row r="1" spans="1:16" x14ac:dyDescent="0.25">
      <c r="A1" s="1" t="s">
        <v>0</v>
      </c>
    </row>
    <row r="3" spans="1:16" x14ac:dyDescent="0.25">
      <c r="A3" s="29" t="s">
        <v>14</v>
      </c>
      <c r="B3" s="29" t="s">
        <v>1</v>
      </c>
      <c r="C3" s="28" t="s">
        <v>3</v>
      </c>
      <c r="D3" s="29" t="s">
        <v>5</v>
      </c>
      <c r="E3" s="28" t="s">
        <v>6</v>
      </c>
      <c r="F3" s="29" t="s">
        <v>140</v>
      </c>
      <c r="G3" s="28" t="s">
        <v>141</v>
      </c>
      <c r="H3" s="31" t="s">
        <v>8</v>
      </c>
      <c r="I3" s="27" t="s">
        <v>19</v>
      </c>
      <c r="J3" s="27"/>
      <c r="K3" s="26"/>
      <c r="M3" s="25" t="s">
        <v>63</v>
      </c>
      <c r="N3" s="28" t="s">
        <v>64</v>
      </c>
      <c r="O3" s="12"/>
      <c r="P3" s="12"/>
    </row>
    <row r="4" spans="1:16" x14ac:dyDescent="0.25">
      <c r="A4" s="32" t="s">
        <v>15</v>
      </c>
      <c r="B4" s="32" t="s">
        <v>2</v>
      </c>
      <c r="C4" s="20" t="s">
        <v>4</v>
      </c>
      <c r="D4" s="33">
        <f>'Experiment 1'!A29</f>
        <v>79311.349454223702</v>
      </c>
      <c r="E4" s="34">
        <f>'Experiment 1'!B29</f>
        <v>4072.1583872900433</v>
      </c>
      <c r="F4" s="35">
        <f>'Experiment 1'!E29</f>
        <v>38.921767759809271</v>
      </c>
      <c r="G4" s="36">
        <f>'Experiment 1'!F29</f>
        <v>4.0675589087694064</v>
      </c>
      <c r="H4" s="22">
        <v>44138</v>
      </c>
      <c r="I4" s="12" t="s">
        <v>9</v>
      </c>
      <c r="J4" s="12"/>
      <c r="K4" s="13"/>
      <c r="M4" s="11" t="s">
        <v>142</v>
      </c>
      <c r="N4" s="20">
        <v>38.299999999999997</v>
      </c>
      <c r="O4" s="12"/>
      <c r="P4" s="12"/>
    </row>
    <row r="5" spans="1:16" x14ac:dyDescent="0.25">
      <c r="A5" s="32" t="s">
        <v>16</v>
      </c>
      <c r="B5" s="32" t="s">
        <v>10</v>
      </c>
      <c r="C5" s="20" t="s">
        <v>11</v>
      </c>
      <c r="D5" s="33">
        <f>'Experiment 2'!A28</f>
        <v>146466.37667416426</v>
      </c>
      <c r="E5" s="34">
        <f>'Experiment 2'!B28</f>
        <v>3433.4178397443156</v>
      </c>
      <c r="F5" s="35">
        <f>'Experiment 2'!E28</f>
        <v>40.398482572266019</v>
      </c>
      <c r="G5" s="36">
        <f>'Experiment 2'!F28</f>
        <v>1.005612473702707</v>
      </c>
      <c r="H5" s="22">
        <v>44111</v>
      </c>
      <c r="I5" s="12" t="s">
        <v>12</v>
      </c>
      <c r="J5" s="12"/>
      <c r="K5" s="13"/>
      <c r="M5" s="11" t="s">
        <v>143</v>
      </c>
      <c r="N5" s="20">
        <v>2</v>
      </c>
      <c r="O5" s="12"/>
      <c r="P5" s="12"/>
    </row>
    <row r="6" spans="1:16" x14ac:dyDescent="0.25">
      <c r="A6" s="32" t="s">
        <v>17</v>
      </c>
      <c r="B6" s="32" t="s">
        <v>2</v>
      </c>
      <c r="C6" s="20" t="s">
        <v>11</v>
      </c>
      <c r="D6" s="33">
        <f>'Experiment 3'!H8</f>
        <v>156462.21006159214</v>
      </c>
      <c r="E6" s="34">
        <f>'Experiment 3'!I8</f>
        <v>7117.9668851719744</v>
      </c>
      <c r="F6" s="35">
        <f>'Experiment 3'!L8</f>
        <v>37.657845812775996</v>
      </c>
      <c r="G6" s="36">
        <f>'Experiment 3'!K8</f>
        <v>1.8269089805305598</v>
      </c>
      <c r="H6" s="22">
        <v>44123</v>
      </c>
      <c r="I6" s="12" t="s">
        <v>13</v>
      </c>
      <c r="J6" s="12"/>
      <c r="K6" s="13"/>
      <c r="M6" s="25" t="s">
        <v>144</v>
      </c>
      <c r="N6" s="28">
        <f>N4+N5</f>
        <v>40.299999999999997</v>
      </c>
      <c r="O6" s="12"/>
      <c r="P6" s="12"/>
    </row>
    <row r="7" spans="1:16" x14ac:dyDescent="0.25">
      <c r="A7" s="37" t="s">
        <v>18</v>
      </c>
      <c r="B7" s="37" t="s">
        <v>136</v>
      </c>
      <c r="C7" s="21" t="s">
        <v>4</v>
      </c>
      <c r="D7" s="3">
        <f>'Experiment 4'!H8</f>
        <v>77003.350812386998</v>
      </c>
      <c r="E7" s="5">
        <f>'Experiment 4'!I8</f>
        <v>3781.9974439478233</v>
      </c>
      <c r="F7" s="78">
        <f>'Experiment 4'!L8</f>
        <v>41.296258356186414</v>
      </c>
      <c r="G7" s="79">
        <f>'Experiment 4'!M8</f>
        <v>4.0075767779336866</v>
      </c>
      <c r="H7" s="23">
        <v>44168</v>
      </c>
      <c r="I7" s="15" t="s">
        <v>139</v>
      </c>
      <c r="J7" s="15"/>
      <c r="K7" s="16"/>
    </row>
    <row r="8" spans="1:16" x14ac:dyDescent="0.25">
      <c r="M8" s="25" t="s">
        <v>63</v>
      </c>
      <c r="N8" s="28" t="s">
        <v>65</v>
      </c>
    </row>
    <row r="9" spans="1:16" x14ac:dyDescent="0.25">
      <c r="A9" s="29" t="s">
        <v>14</v>
      </c>
      <c r="B9" s="29" t="s">
        <v>1</v>
      </c>
      <c r="C9" s="28" t="s">
        <v>3</v>
      </c>
      <c r="D9" s="29" t="s">
        <v>132</v>
      </c>
      <c r="E9" s="28" t="s">
        <v>141</v>
      </c>
      <c r="F9" s="31" t="s">
        <v>8</v>
      </c>
      <c r="M9" s="11" t="s">
        <v>142</v>
      </c>
      <c r="N9" s="20">
        <v>0.5</v>
      </c>
    </row>
    <row r="10" spans="1:16" x14ac:dyDescent="0.25">
      <c r="A10" s="73" t="s">
        <v>133</v>
      </c>
      <c r="B10" s="73" t="s">
        <v>2</v>
      </c>
      <c r="C10" s="74" t="s">
        <v>4</v>
      </c>
      <c r="D10" s="75">
        <f>'Experiment 5'!B12</f>
        <v>1.7695223204206469</v>
      </c>
      <c r="E10" s="76">
        <f>'Experiment 5'!C12</f>
        <v>0.39883239804670118</v>
      </c>
      <c r="F10" s="77">
        <v>44153</v>
      </c>
      <c r="M10" s="11" t="s">
        <v>143</v>
      </c>
      <c r="N10" s="20">
        <v>2</v>
      </c>
    </row>
    <row r="11" spans="1:16" x14ac:dyDescent="0.25">
      <c r="M11" s="25" t="s">
        <v>144</v>
      </c>
      <c r="N11" s="28">
        <f>N9+N10</f>
        <v>2.5</v>
      </c>
    </row>
    <row r="12" spans="1:16" x14ac:dyDescent="0.25">
      <c r="F12" s="91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EA4F-22A8-4F38-88D5-1F30415CE481}">
  <dimension ref="A1:H29"/>
  <sheetViews>
    <sheetView workbookViewId="0">
      <selection activeCell="B39" sqref="B39"/>
    </sheetView>
  </sheetViews>
  <sheetFormatPr defaultRowHeight="15" x14ac:dyDescent="0.25"/>
  <cols>
    <col min="1" max="1" width="15.42578125" customWidth="1"/>
    <col min="2" max="2" width="14.28515625" customWidth="1"/>
    <col min="3" max="3" width="12" bestFit="1" customWidth="1"/>
    <col min="4" max="4" width="12" customWidth="1"/>
    <col min="5" max="5" width="12.42578125" bestFit="1" customWidth="1"/>
    <col min="6" max="7" width="12" bestFit="1" customWidth="1"/>
    <col min="8" max="8" width="12.28515625" bestFit="1" customWidth="1"/>
  </cols>
  <sheetData>
    <row r="1" spans="1:8" s="1" customFormat="1" x14ac:dyDescent="0.25">
      <c r="A1" s="1" t="s">
        <v>51</v>
      </c>
    </row>
    <row r="2" spans="1:8" x14ac:dyDescent="0.25">
      <c r="A2" s="1" t="s">
        <v>134</v>
      </c>
    </row>
    <row r="3" spans="1:8" x14ac:dyDescent="0.25">
      <c r="A3" s="1"/>
    </row>
    <row r="4" spans="1:8" x14ac:dyDescent="0.25">
      <c r="A4" t="s">
        <v>20</v>
      </c>
    </row>
    <row r="6" spans="1:8" x14ac:dyDescent="0.25">
      <c r="A6" s="25" t="s">
        <v>7</v>
      </c>
      <c r="B6" s="27" t="s">
        <v>21</v>
      </c>
      <c r="C6" s="26" t="s">
        <v>22</v>
      </c>
      <c r="D6" s="1"/>
      <c r="F6" s="29" t="s">
        <v>30</v>
      </c>
      <c r="G6" s="30" t="s">
        <v>31</v>
      </c>
      <c r="H6" s="28" t="s">
        <v>46</v>
      </c>
    </row>
    <row r="7" spans="1:8" x14ac:dyDescent="0.25">
      <c r="A7" s="11" t="s">
        <v>23</v>
      </c>
      <c r="B7" s="12" t="s">
        <v>24</v>
      </c>
      <c r="C7" s="13">
        <v>736858278714.37805</v>
      </c>
      <c r="F7" s="8">
        <f>AVERAGE(C7:C11)</f>
        <v>738688099034.69641</v>
      </c>
      <c r="G7" s="9">
        <f>_xlfn.STDEV.P(C7:C11)</f>
        <v>14657326050.917696</v>
      </c>
      <c r="H7" s="10">
        <f>(G7/F7)</f>
        <v>1.9842374704657637E-2</v>
      </c>
    </row>
    <row r="8" spans="1:8" x14ac:dyDescent="0.25">
      <c r="A8" s="11" t="s">
        <v>23</v>
      </c>
      <c r="B8" s="12" t="s">
        <v>25</v>
      </c>
      <c r="C8" s="13">
        <v>760772893016.62</v>
      </c>
    </row>
    <row r="9" spans="1:8" x14ac:dyDescent="0.25">
      <c r="A9" s="11" t="s">
        <v>23</v>
      </c>
      <c r="B9" s="12" t="s">
        <v>26</v>
      </c>
      <c r="C9" s="13">
        <v>722088907461.99695</v>
      </c>
    </row>
    <row r="10" spans="1:8" x14ac:dyDescent="0.25">
      <c r="A10" s="11" t="s">
        <v>23</v>
      </c>
      <c r="B10" s="12" t="s">
        <v>28</v>
      </c>
      <c r="C10" s="13">
        <v>724594725224.00195</v>
      </c>
    </row>
    <row r="11" spans="1:8" x14ac:dyDescent="0.25">
      <c r="A11" s="14" t="s">
        <v>23</v>
      </c>
      <c r="B11" s="15" t="s">
        <v>29</v>
      </c>
      <c r="C11" s="16">
        <v>749125690756.48499</v>
      </c>
    </row>
    <row r="13" spans="1:8" x14ac:dyDescent="0.25">
      <c r="A13" t="s">
        <v>49</v>
      </c>
      <c r="B13" t="s">
        <v>50</v>
      </c>
    </row>
    <row r="15" spans="1:8" x14ac:dyDescent="0.25">
      <c r="A15" s="25" t="s">
        <v>7</v>
      </c>
      <c r="B15" s="27" t="s">
        <v>21</v>
      </c>
      <c r="C15" s="26" t="s">
        <v>32</v>
      </c>
      <c r="D15" s="1"/>
      <c r="F15" s="29" t="s">
        <v>43</v>
      </c>
      <c r="G15" s="30" t="s">
        <v>44</v>
      </c>
      <c r="H15" s="28" t="s">
        <v>45</v>
      </c>
    </row>
    <row r="16" spans="1:8" x14ac:dyDescent="0.25">
      <c r="A16" s="11" t="s">
        <v>23</v>
      </c>
      <c r="B16" s="12" t="s">
        <v>33</v>
      </c>
      <c r="C16" s="18">
        <v>10053685.741490399</v>
      </c>
      <c r="D16" s="2"/>
      <c r="F16" s="8">
        <f>AVERAGE(C16:C25)</f>
        <v>9313775.4447242953</v>
      </c>
      <c r="G16" s="9">
        <f>_xlfn.STDEV.P(C16:C25)</f>
        <v>441052.449084625</v>
      </c>
      <c r="H16" s="10">
        <f>(G16/F16)</f>
        <v>4.7354851070030381E-2</v>
      </c>
    </row>
    <row r="17" spans="1:6" x14ac:dyDescent="0.25">
      <c r="A17" s="11" t="s">
        <v>23</v>
      </c>
      <c r="B17" s="12" t="s">
        <v>34</v>
      </c>
      <c r="C17" s="18">
        <v>9558857.1083923802</v>
      </c>
      <c r="D17" s="2"/>
    </row>
    <row r="18" spans="1:6" x14ac:dyDescent="0.25">
      <c r="A18" s="11" t="s">
        <v>23</v>
      </c>
      <c r="B18" s="12" t="s">
        <v>35</v>
      </c>
      <c r="C18" s="18">
        <v>9649155.5983143803</v>
      </c>
      <c r="D18" s="2"/>
    </row>
    <row r="19" spans="1:6" x14ac:dyDescent="0.25">
      <c r="A19" s="11" t="s">
        <v>23</v>
      </c>
      <c r="B19" s="12" t="s">
        <v>36</v>
      </c>
      <c r="C19" s="18">
        <v>9466398.3585122507</v>
      </c>
      <c r="D19" s="2"/>
    </row>
    <row r="20" spans="1:6" x14ac:dyDescent="0.25">
      <c r="A20" s="11" t="s">
        <v>23</v>
      </c>
      <c r="B20" s="12" t="s">
        <v>37</v>
      </c>
      <c r="C20" s="18">
        <v>9798298.3788243905</v>
      </c>
      <c r="D20" s="2"/>
    </row>
    <row r="21" spans="1:6" x14ac:dyDescent="0.25">
      <c r="A21" s="11" t="s">
        <v>23</v>
      </c>
      <c r="B21" s="12" t="s">
        <v>38</v>
      </c>
      <c r="C21" s="18">
        <v>9140871.7415526807</v>
      </c>
      <c r="D21" s="2"/>
    </row>
    <row r="22" spans="1:6" x14ac:dyDescent="0.25">
      <c r="A22" s="11" t="s">
        <v>23</v>
      </c>
      <c r="B22" s="12" t="s">
        <v>39</v>
      </c>
      <c r="C22" s="18">
        <v>9075190.0932401996</v>
      </c>
      <c r="D22" s="2"/>
    </row>
    <row r="23" spans="1:6" x14ac:dyDescent="0.25">
      <c r="A23" s="11" t="s">
        <v>23</v>
      </c>
      <c r="B23" s="12" t="s">
        <v>40</v>
      </c>
      <c r="C23" s="18">
        <v>8586519.8181714397</v>
      </c>
      <c r="D23" s="2"/>
    </row>
    <row r="24" spans="1:6" x14ac:dyDescent="0.25">
      <c r="A24" s="11" t="s">
        <v>23</v>
      </c>
      <c r="B24" s="12" t="s">
        <v>41</v>
      </c>
      <c r="C24" s="18">
        <v>8814139.0538431294</v>
      </c>
      <c r="D24" s="2"/>
    </row>
    <row r="25" spans="1:6" x14ac:dyDescent="0.25">
      <c r="A25" s="14" t="s">
        <v>23</v>
      </c>
      <c r="B25" s="15" t="s">
        <v>42</v>
      </c>
      <c r="C25" s="17">
        <v>8994638.5549016893</v>
      </c>
      <c r="D25" s="2"/>
    </row>
    <row r="28" spans="1:6" x14ac:dyDescent="0.25">
      <c r="A28" s="29" t="s">
        <v>5</v>
      </c>
      <c r="B28" s="28" t="s">
        <v>6</v>
      </c>
      <c r="C28" s="29" t="s">
        <v>47</v>
      </c>
      <c r="D28" s="28" t="s">
        <v>6</v>
      </c>
      <c r="E28" s="29" t="s">
        <v>48</v>
      </c>
      <c r="F28" s="28" t="s">
        <v>6</v>
      </c>
    </row>
    <row r="29" spans="1:6" x14ac:dyDescent="0.25">
      <c r="A29" s="3">
        <f>F7/F16</f>
        <v>79311.349454223702</v>
      </c>
      <c r="B29" s="5">
        <f>A29 * SQRT((G7/F7)^2+(G16/F16)^2)</f>
        <v>4072.1583872900433</v>
      </c>
      <c r="C29" s="6">
        <f>1000000 * 2 * PI()/A29</f>
        <v>79.221767759809268</v>
      </c>
      <c r="D29" s="4">
        <f>C29* SQRT((G7/F7)^2+(G16/F16)^2)</f>
        <v>4.0675589087694064</v>
      </c>
      <c r="E29" s="6">
        <f>C29-Overview!N6</f>
        <v>38.921767759809271</v>
      </c>
      <c r="F29" s="4">
        <f>D29</f>
        <v>4.0675589087694064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81DC-E17D-48D6-8F05-125237987363}">
  <dimension ref="A1:H28"/>
  <sheetViews>
    <sheetView workbookViewId="0">
      <selection activeCell="E30" sqref="E30"/>
    </sheetView>
  </sheetViews>
  <sheetFormatPr defaultRowHeight="15" x14ac:dyDescent="0.25"/>
  <cols>
    <col min="1" max="1" width="16.85546875" customWidth="1"/>
    <col min="2" max="2" width="13.85546875" bestFit="1" customWidth="1"/>
    <col min="3" max="3" width="9.5703125" bestFit="1" customWidth="1"/>
    <col min="5" max="5" width="12.42578125" bestFit="1" customWidth="1"/>
    <col min="6" max="6" width="11" bestFit="1" customWidth="1"/>
    <col min="7" max="7" width="12.42578125" customWidth="1"/>
    <col min="8" max="8" width="13.5703125" customWidth="1"/>
  </cols>
  <sheetData>
    <row r="1" spans="1:8" x14ac:dyDescent="0.25">
      <c r="A1" s="1" t="s">
        <v>62</v>
      </c>
    </row>
    <row r="2" spans="1:8" x14ac:dyDescent="0.25">
      <c r="A2" s="1" t="s">
        <v>135</v>
      </c>
    </row>
    <row r="3" spans="1:8" x14ac:dyDescent="0.25">
      <c r="A3" s="1"/>
    </row>
    <row r="4" spans="1:8" x14ac:dyDescent="0.25">
      <c r="A4" t="s">
        <v>20</v>
      </c>
    </row>
    <row r="6" spans="1:8" x14ac:dyDescent="0.25">
      <c r="A6" s="25" t="s">
        <v>7</v>
      </c>
      <c r="B6" s="27" t="s">
        <v>21</v>
      </c>
      <c r="C6" s="26" t="s">
        <v>22</v>
      </c>
      <c r="F6" s="29" t="s">
        <v>30</v>
      </c>
      <c r="G6" s="30" t="s">
        <v>31</v>
      </c>
      <c r="H6" s="28" t="s">
        <v>46</v>
      </c>
    </row>
    <row r="7" spans="1:8" x14ac:dyDescent="0.25">
      <c r="A7" s="11" t="s">
        <v>52</v>
      </c>
      <c r="B7" s="12" t="s">
        <v>53</v>
      </c>
      <c r="C7" s="18">
        <v>672822956583.91699</v>
      </c>
      <c r="F7" s="8">
        <f>AVERAGE(C7:C15)</f>
        <v>674564197738.22107</v>
      </c>
      <c r="G7" s="24">
        <f>+_xlfn.STDEV.P(C7:C15)</f>
        <v>5396229257.1277704</v>
      </c>
      <c r="H7" s="10">
        <f>G7/F7</f>
        <v>7.9995785059762264E-3</v>
      </c>
    </row>
    <row r="8" spans="1:8" x14ac:dyDescent="0.25">
      <c r="A8" s="11" t="s">
        <v>52</v>
      </c>
      <c r="B8" s="12" t="s">
        <v>54</v>
      </c>
      <c r="C8" s="18">
        <v>671596413281.04004</v>
      </c>
    </row>
    <row r="9" spans="1:8" x14ac:dyDescent="0.25">
      <c r="A9" s="11" t="s">
        <v>52</v>
      </c>
      <c r="B9" s="12" t="s">
        <v>55</v>
      </c>
      <c r="C9" s="18">
        <v>678094327285.00195</v>
      </c>
    </row>
    <row r="10" spans="1:8" x14ac:dyDescent="0.25">
      <c r="A10" s="11" t="s">
        <v>52</v>
      </c>
      <c r="B10" s="12" t="s">
        <v>56</v>
      </c>
      <c r="C10" s="18">
        <v>668722740341.36902</v>
      </c>
    </row>
    <row r="11" spans="1:8" x14ac:dyDescent="0.25">
      <c r="A11" s="11" t="s">
        <v>52</v>
      </c>
      <c r="B11" s="12" t="s">
        <v>57</v>
      </c>
      <c r="C11" s="18">
        <v>681168241772.42896</v>
      </c>
    </row>
    <row r="12" spans="1:8" x14ac:dyDescent="0.25">
      <c r="A12" s="11" t="s">
        <v>52</v>
      </c>
      <c r="B12" s="12" t="s">
        <v>58</v>
      </c>
      <c r="C12" s="18">
        <v>679622453373.47595</v>
      </c>
    </row>
    <row r="13" spans="1:8" x14ac:dyDescent="0.25">
      <c r="A13" s="11" t="s">
        <v>52</v>
      </c>
      <c r="B13" s="12" t="s">
        <v>59</v>
      </c>
      <c r="C13" s="18">
        <v>682186469720.39697</v>
      </c>
    </row>
    <row r="14" spans="1:8" x14ac:dyDescent="0.25">
      <c r="A14" s="11" t="s">
        <v>52</v>
      </c>
      <c r="B14" s="12" t="s">
        <v>60</v>
      </c>
      <c r="C14" s="18">
        <v>667675251300.44202</v>
      </c>
    </row>
    <row r="15" spans="1:8" x14ac:dyDescent="0.25">
      <c r="A15" s="14" t="s">
        <v>52</v>
      </c>
      <c r="B15" s="15" t="s">
        <v>61</v>
      </c>
      <c r="C15" s="17">
        <v>669188925985.91699</v>
      </c>
    </row>
    <row r="16" spans="1:8" x14ac:dyDescent="0.25">
      <c r="A16" s="12"/>
      <c r="B16" s="12"/>
      <c r="C16" s="19"/>
    </row>
    <row r="17" spans="1:8" x14ac:dyDescent="0.25">
      <c r="A17" t="s">
        <v>49</v>
      </c>
      <c r="B17" t="s">
        <v>66</v>
      </c>
    </row>
    <row r="18" spans="1:8" x14ac:dyDescent="0.25">
      <c r="C18" s="2"/>
    </row>
    <row r="19" spans="1:8" x14ac:dyDescent="0.25">
      <c r="A19" s="25" t="s">
        <v>7</v>
      </c>
      <c r="B19" s="27" t="s">
        <v>21</v>
      </c>
      <c r="C19" s="26" t="s">
        <v>32</v>
      </c>
      <c r="F19" s="29" t="s">
        <v>43</v>
      </c>
      <c r="G19" s="30" t="s">
        <v>44</v>
      </c>
      <c r="H19" s="28" t="s">
        <v>45</v>
      </c>
    </row>
    <row r="20" spans="1:8" x14ac:dyDescent="0.25">
      <c r="A20" s="11" t="s">
        <v>52</v>
      </c>
      <c r="B20" s="12" t="s">
        <v>33</v>
      </c>
      <c r="C20" s="18">
        <v>4491639.5639942996</v>
      </c>
      <c r="F20" s="8">
        <f>AVERAGE(C20:C24)</f>
        <v>4605590.8055873271</v>
      </c>
      <c r="G20" s="24">
        <f>_xlfn.STDEV.P(C20:C24)</f>
        <v>101481.87857955688</v>
      </c>
      <c r="H20" s="10">
        <f>G20/F20</f>
        <v>2.2034497388791669E-2</v>
      </c>
    </row>
    <row r="21" spans="1:8" x14ac:dyDescent="0.25">
      <c r="A21" s="11" t="s">
        <v>52</v>
      </c>
      <c r="B21" s="12" t="s">
        <v>34</v>
      </c>
      <c r="C21" s="18">
        <v>4792316.8729785802</v>
      </c>
    </row>
    <row r="22" spans="1:8" x14ac:dyDescent="0.25">
      <c r="A22" s="11" t="s">
        <v>52</v>
      </c>
      <c r="B22" s="12" t="s">
        <v>35</v>
      </c>
      <c r="C22" s="18">
        <v>4558869.1836053701</v>
      </c>
    </row>
    <row r="23" spans="1:8" x14ac:dyDescent="0.25">
      <c r="A23" s="11" t="s">
        <v>52</v>
      </c>
      <c r="B23" s="12" t="s">
        <v>36</v>
      </c>
      <c r="C23" s="18">
        <v>4568909.88038499</v>
      </c>
    </row>
    <row r="24" spans="1:8" x14ac:dyDescent="0.25">
      <c r="A24" s="14" t="s">
        <v>52</v>
      </c>
      <c r="B24" s="15" t="s">
        <v>37</v>
      </c>
      <c r="C24" s="17">
        <v>4616218.5269734003</v>
      </c>
    </row>
    <row r="25" spans="1:8" x14ac:dyDescent="0.25">
      <c r="C25" s="2"/>
    </row>
    <row r="27" spans="1:8" x14ac:dyDescent="0.25">
      <c r="A27" s="29" t="s">
        <v>5</v>
      </c>
      <c r="B27" s="28" t="s">
        <v>6</v>
      </c>
      <c r="C27" s="29" t="s">
        <v>47</v>
      </c>
      <c r="D27" s="28" t="s">
        <v>6</v>
      </c>
      <c r="E27" s="29" t="s">
        <v>48</v>
      </c>
      <c r="F27" s="28" t="s">
        <v>6</v>
      </c>
    </row>
    <row r="28" spans="1:8" x14ac:dyDescent="0.25">
      <c r="A28" s="3">
        <f>F7/F20</f>
        <v>146466.37667416426</v>
      </c>
      <c r="B28" s="5">
        <f>A28*SQRT(H20^2+H7^2)</f>
        <v>3433.4178397443156</v>
      </c>
      <c r="C28" s="6">
        <f>1000000*2*PI()/A28</f>
        <v>42.898482572266019</v>
      </c>
      <c r="D28" s="4">
        <f>C28*B28/A28</f>
        <v>1.005612473702707</v>
      </c>
      <c r="E28" s="6">
        <f>C28-Overview!N11</f>
        <v>40.398482572266019</v>
      </c>
      <c r="F28" s="4">
        <f>D28</f>
        <v>1.005612473702707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FDB41-8640-4654-B22A-D0C9653C16D9}">
  <dimension ref="A1:S32"/>
  <sheetViews>
    <sheetView workbookViewId="0">
      <selection activeCell="T4" sqref="T4"/>
    </sheetView>
  </sheetViews>
  <sheetFormatPr defaultRowHeight="15" x14ac:dyDescent="0.25"/>
  <cols>
    <col min="1" max="1" width="11" bestFit="1" customWidth="1"/>
    <col min="2" max="2" width="12.7109375" bestFit="1" customWidth="1"/>
    <col min="4" max="4" width="12.5703125" bestFit="1" customWidth="1"/>
    <col min="5" max="5" width="12" bestFit="1" customWidth="1"/>
    <col min="10" max="10" width="9.5703125" bestFit="1" customWidth="1"/>
    <col min="11" max="11" width="12" bestFit="1" customWidth="1"/>
    <col min="12" max="12" width="12.42578125" bestFit="1" customWidth="1"/>
    <col min="15" max="15" width="11" bestFit="1" customWidth="1"/>
    <col min="16" max="16" width="12.7109375" bestFit="1" customWidth="1"/>
    <col min="17" max="17" width="8.5703125" bestFit="1" customWidth="1"/>
  </cols>
  <sheetData>
    <row r="1" spans="1:19" x14ac:dyDescent="0.25">
      <c r="A1" s="1" t="s">
        <v>62</v>
      </c>
    </row>
    <row r="2" spans="1:19" x14ac:dyDescent="0.25">
      <c r="A2" s="1" t="s">
        <v>135</v>
      </c>
    </row>
    <row r="4" spans="1:19" x14ac:dyDescent="0.25">
      <c r="A4" t="s">
        <v>117</v>
      </c>
    </row>
    <row r="5" spans="1:19" x14ac:dyDescent="0.25">
      <c r="A5" t="s">
        <v>118</v>
      </c>
      <c r="O5" t="s">
        <v>146</v>
      </c>
    </row>
    <row r="7" spans="1:19" x14ac:dyDescent="0.25">
      <c r="A7" s="25" t="s">
        <v>7</v>
      </c>
      <c r="B7" s="27" t="s">
        <v>21</v>
      </c>
      <c r="C7" s="27" t="s">
        <v>22</v>
      </c>
      <c r="D7" s="27" t="s">
        <v>21</v>
      </c>
      <c r="E7" s="27" t="s">
        <v>32</v>
      </c>
      <c r="F7" s="26" t="s">
        <v>5</v>
      </c>
      <c r="H7" s="29" t="s">
        <v>5</v>
      </c>
      <c r="I7" s="28" t="s">
        <v>6</v>
      </c>
      <c r="J7" s="29" t="s">
        <v>47</v>
      </c>
      <c r="K7" s="28" t="s">
        <v>6</v>
      </c>
      <c r="L7" s="29" t="s">
        <v>48</v>
      </c>
      <c r="M7" s="28" t="s">
        <v>6</v>
      </c>
      <c r="O7" s="93" t="s">
        <v>7</v>
      </c>
      <c r="P7" s="94" t="s">
        <v>21</v>
      </c>
      <c r="Q7" s="95" t="s">
        <v>22</v>
      </c>
    </row>
    <row r="8" spans="1:19" x14ac:dyDescent="0.25">
      <c r="A8" s="38" t="s">
        <v>86</v>
      </c>
      <c r="B8" s="38" t="s">
        <v>67</v>
      </c>
      <c r="C8" s="43">
        <v>1125730391197.52</v>
      </c>
      <c r="D8" s="42" t="s">
        <v>71</v>
      </c>
      <c r="E8" s="43">
        <v>6792693.5283591701</v>
      </c>
      <c r="F8" s="39">
        <f>C8/E8</f>
        <v>165726.65710555753</v>
      </c>
      <c r="H8" s="3">
        <f>AVERAGE(F8:F32)</f>
        <v>156462.21006159214</v>
      </c>
      <c r="I8" s="5">
        <f>_xlfn.STDEV.P(F8:F32)</f>
        <v>7117.9668851719744</v>
      </c>
      <c r="J8" s="6">
        <f>1000000*2*PI()/H8</f>
        <v>40.157845812775996</v>
      </c>
      <c r="K8" s="4">
        <f>J8*I8/H8</f>
        <v>1.8269089805305598</v>
      </c>
      <c r="L8" s="6">
        <f>J8-Overview!N11</f>
        <v>37.657845812775996</v>
      </c>
      <c r="M8" s="4">
        <f>K8</f>
        <v>1.8269089805305598</v>
      </c>
      <c r="O8" s="11" t="s">
        <v>86</v>
      </c>
      <c r="P8" s="12" t="s">
        <v>87</v>
      </c>
      <c r="Q8" s="18">
        <v>865423578208.61694</v>
      </c>
    </row>
    <row r="9" spans="1:19" x14ac:dyDescent="0.25">
      <c r="A9" s="11" t="s">
        <v>86</v>
      </c>
      <c r="B9" s="11" t="s">
        <v>69</v>
      </c>
      <c r="C9" s="18">
        <v>948838706222.97705</v>
      </c>
      <c r="D9" s="44" t="s">
        <v>73</v>
      </c>
      <c r="E9" s="18">
        <v>6824357.1220566696</v>
      </c>
      <c r="F9" s="40">
        <f t="shared" ref="F9:F32" si="0">C9/E9</f>
        <v>139037.08279806783</v>
      </c>
      <c r="O9" s="11" t="s">
        <v>86</v>
      </c>
      <c r="P9" s="12" t="s">
        <v>89</v>
      </c>
      <c r="Q9" s="18">
        <v>886243608175.59705</v>
      </c>
    </row>
    <row r="10" spans="1:19" x14ac:dyDescent="0.25">
      <c r="A10" s="11" t="s">
        <v>86</v>
      </c>
      <c r="B10" s="11" t="s">
        <v>27</v>
      </c>
      <c r="C10" s="18">
        <v>1168810156872.8301</v>
      </c>
      <c r="D10" s="44" t="s">
        <v>74</v>
      </c>
      <c r="E10" s="18">
        <v>6746746.0845632097</v>
      </c>
      <c r="F10" s="40">
        <f t="shared" si="0"/>
        <v>173240.57289588955</v>
      </c>
      <c r="O10" s="11" t="s">
        <v>86</v>
      </c>
      <c r="P10" s="12" t="s">
        <v>90</v>
      </c>
      <c r="Q10" s="18">
        <v>880444714401.11304</v>
      </c>
    </row>
    <row r="11" spans="1:19" x14ac:dyDescent="0.25">
      <c r="A11" s="11" t="s">
        <v>86</v>
      </c>
      <c r="B11" s="11" t="s">
        <v>68</v>
      </c>
      <c r="C11" s="18">
        <v>1163858846490.9299</v>
      </c>
      <c r="D11" s="44" t="s">
        <v>72</v>
      </c>
      <c r="E11" s="18">
        <v>6811615.1332552498</v>
      </c>
      <c r="F11" s="40">
        <f t="shared" si="0"/>
        <v>170863.85882385069</v>
      </c>
      <c r="O11" s="11" t="s">
        <v>86</v>
      </c>
      <c r="P11" s="12" t="s">
        <v>91</v>
      </c>
      <c r="Q11" s="18">
        <v>891991592486.73096</v>
      </c>
    </row>
    <row r="12" spans="1:19" x14ac:dyDescent="0.25">
      <c r="A12" s="11" t="s">
        <v>86</v>
      </c>
      <c r="B12" s="11" t="s">
        <v>70</v>
      </c>
      <c r="C12" s="18">
        <v>1135827240340.2</v>
      </c>
      <c r="D12" s="44" t="s">
        <v>75</v>
      </c>
      <c r="E12" s="18">
        <v>7095821.0894718701</v>
      </c>
      <c r="F12" s="40">
        <f t="shared" si="0"/>
        <v>160069.88141589935</v>
      </c>
      <c r="O12" s="14" t="s">
        <v>86</v>
      </c>
      <c r="P12" s="15" t="s">
        <v>92</v>
      </c>
      <c r="Q12" s="17">
        <v>852629881644.63794</v>
      </c>
    </row>
    <row r="13" spans="1:19" x14ac:dyDescent="0.25">
      <c r="A13" s="11" t="s">
        <v>86</v>
      </c>
      <c r="B13" s="11" t="s">
        <v>76</v>
      </c>
      <c r="C13" s="18">
        <v>941363982613.07202</v>
      </c>
      <c r="D13" s="44" t="s">
        <v>81</v>
      </c>
      <c r="E13" s="18">
        <v>6448195.37690695</v>
      </c>
      <c r="F13" s="40">
        <f t="shared" si="0"/>
        <v>145988.7499662925</v>
      </c>
    </row>
    <row r="14" spans="1:19" x14ac:dyDescent="0.25">
      <c r="A14" s="11" t="s">
        <v>86</v>
      </c>
      <c r="B14" s="11" t="s">
        <v>77</v>
      </c>
      <c r="C14" s="18">
        <v>944732399972.47803</v>
      </c>
      <c r="D14" s="44" t="s">
        <v>82</v>
      </c>
      <c r="E14" s="18">
        <v>6108166.1101881396</v>
      </c>
      <c r="F14" s="40">
        <f t="shared" si="0"/>
        <v>154667.11005070867</v>
      </c>
    </row>
    <row r="15" spans="1:19" x14ac:dyDescent="0.25">
      <c r="A15" s="11" t="s">
        <v>86</v>
      </c>
      <c r="B15" s="11" t="s">
        <v>78</v>
      </c>
      <c r="C15" s="18">
        <v>936996276666.151</v>
      </c>
      <c r="D15" s="44" t="s">
        <v>83</v>
      </c>
      <c r="E15" s="18">
        <v>6118275.2969384901</v>
      </c>
      <c r="F15" s="40">
        <f t="shared" si="0"/>
        <v>153147.12581420003</v>
      </c>
      <c r="Q15" s="93" t="s">
        <v>145</v>
      </c>
      <c r="R15" s="94" t="s">
        <v>6</v>
      </c>
      <c r="S15" s="95" t="s">
        <v>125</v>
      </c>
    </row>
    <row r="16" spans="1:19" x14ac:dyDescent="0.25">
      <c r="A16" s="11" t="s">
        <v>86</v>
      </c>
      <c r="B16" s="11" t="s">
        <v>79</v>
      </c>
      <c r="C16" s="18">
        <v>936228943243.03894</v>
      </c>
      <c r="D16" s="44" t="s">
        <v>84</v>
      </c>
      <c r="E16" s="18">
        <v>6144591.6287344499</v>
      </c>
      <c r="F16" s="40">
        <f t="shared" si="0"/>
        <v>152366.34097290956</v>
      </c>
      <c r="Q16" s="8">
        <f>AVERAGE(Q8:Q12)</f>
        <v>875346674983.33923</v>
      </c>
      <c r="R16" s="9">
        <f>_xlfn.STDEV.P(Q8:Q12)</f>
        <v>14396575890.052391</v>
      </c>
      <c r="S16" s="10">
        <f>R16/Q16</f>
        <v>1.6446713401094951E-2</v>
      </c>
    </row>
    <row r="17" spans="1:19" x14ac:dyDescent="0.25">
      <c r="A17" s="11" t="s">
        <v>86</v>
      </c>
      <c r="B17" s="11" t="s">
        <v>80</v>
      </c>
      <c r="C17" s="18">
        <v>937178809401.44897</v>
      </c>
      <c r="D17" s="44" t="s">
        <v>85</v>
      </c>
      <c r="E17" s="18">
        <v>5993806.8984325305</v>
      </c>
      <c r="F17" s="40">
        <f t="shared" si="0"/>
        <v>156357.85824974361</v>
      </c>
    </row>
    <row r="18" spans="1:19" x14ac:dyDescent="0.25">
      <c r="A18" s="11" t="s">
        <v>86</v>
      </c>
      <c r="B18" s="11" t="s">
        <v>87</v>
      </c>
      <c r="C18" s="18">
        <v>865423578208.61694</v>
      </c>
      <c r="D18" s="44" t="s">
        <v>93</v>
      </c>
      <c r="E18" s="18">
        <v>5703593.8625518298</v>
      </c>
      <c r="F18" s="40">
        <f t="shared" si="0"/>
        <v>151733.029921843</v>
      </c>
    </row>
    <row r="19" spans="1:19" x14ac:dyDescent="0.25">
      <c r="A19" s="11" t="s">
        <v>86</v>
      </c>
      <c r="B19" s="11" t="s">
        <v>89</v>
      </c>
      <c r="C19" s="18">
        <v>886243608175.59705</v>
      </c>
      <c r="D19" s="44" t="s">
        <v>94</v>
      </c>
      <c r="E19" s="18">
        <v>5831692.4937261697</v>
      </c>
      <c r="F19" s="40">
        <f t="shared" si="0"/>
        <v>151970.22290339082</v>
      </c>
      <c r="O19" s="93" t="s">
        <v>7</v>
      </c>
      <c r="P19" s="94" t="s">
        <v>21</v>
      </c>
      <c r="Q19" s="95" t="s">
        <v>32</v>
      </c>
    </row>
    <row r="20" spans="1:19" x14ac:dyDescent="0.25">
      <c r="A20" s="11" t="s">
        <v>86</v>
      </c>
      <c r="B20" s="11" t="s">
        <v>90</v>
      </c>
      <c r="C20" s="18">
        <v>880444714401.11304</v>
      </c>
      <c r="D20" s="44" t="s">
        <v>95</v>
      </c>
      <c r="E20" s="18">
        <v>5484833.2134292601</v>
      </c>
      <c r="F20" s="40">
        <f t="shared" si="0"/>
        <v>160523.51642077303</v>
      </c>
      <c r="O20" s="11" t="s">
        <v>86</v>
      </c>
      <c r="P20" s="19" t="s">
        <v>93</v>
      </c>
      <c r="Q20" s="18">
        <v>5703593.8625518298</v>
      </c>
    </row>
    <row r="21" spans="1:19" x14ac:dyDescent="0.25">
      <c r="A21" s="11" t="s">
        <v>86</v>
      </c>
      <c r="B21" s="11" t="s">
        <v>91</v>
      </c>
      <c r="C21" s="18">
        <v>891991592486.73096</v>
      </c>
      <c r="D21" s="44" t="s">
        <v>96</v>
      </c>
      <c r="E21" s="18">
        <v>5570215.6587559097</v>
      </c>
      <c r="F21" s="40">
        <f t="shared" si="0"/>
        <v>160135.91701509713</v>
      </c>
      <c r="O21" s="11" t="s">
        <v>86</v>
      </c>
      <c r="P21" s="19" t="s">
        <v>94</v>
      </c>
      <c r="Q21" s="18">
        <v>5831692.4937261697</v>
      </c>
    </row>
    <row r="22" spans="1:19" x14ac:dyDescent="0.25">
      <c r="A22" s="11" t="s">
        <v>86</v>
      </c>
      <c r="B22" s="11" t="s">
        <v>92</v>
      </c>
      <c r="C22" s="18">
        <v>852629881644.63794</v>
      </c>
      <c r="D22" s="44" t="s">
        <v>97</v>
      </c>
      <c r="E22" s="18">
        <v>5608228.3857900901</v>
      </c>
      <c r="F22" s="40">
        <f t="shared" si="0"/>
        <v>152031.94716623847</v>
      </c>
      <c r="O22" s="11" t="s">
        <v>86</v>
      </c>
      <c r="P22" s="19" t="s">
        <v>95</v>
      </c>
      <c r="Q22" s="18">
        <v>5484833.2134292601</v>
      </c>
    </row>
    <row r="23" spans="1:19" x14ac:dyDescent="0.25">
      <c r="A23" s="11" t="s">
        <v>86</v>
      </c>
      <c r="B23" s="11" t="s">
        <v>98</v>
      </c>
      <c r="C23" s="18">
        <v>825158027934.00305</v>
      </c>
      <c r="D23" s="44" t="s">
        <v>103</v>
      </c>
      <c r="E23" s="18">
        <v>5390660.3825139804</v>
      </c>
      <c r="F23" s="40">
        <f t="shared" si="0"/>
        <v>153071.78886850661</v>
      </c>
      <c r="O23" s="11" t="s">
        <v>86</v>
      </c>
      <c r="P23" s="19" t="s">
        <v>96</v>
      </c>
      <c r="Q23" s="18">
        <v>5570215.6587559097</v>
      </c>
    </row>
    <row r="24" spans="1:19" x14ac:dyDescent="0.25">
      <c r="A24" s="11" t="s">
        <v>86</v>
      </c>
      <c r="B24" s="11" t="s">
        <v>99</v>
      </c>
      <c r="C24" s="18">
        <v>817576808288.09998</v>
      </c>
      <c r="D24" s="44" t="s">
        <v>104</v>
      </c>
      <c r="E24" s="18">
        <v>5055842.7008686997</v>
      </c>
      <c r="F24" s="40">
        <f t="shared" si="0"/>
        <v>161709.30479059863</v>
      </c>
      <c r="O24" s="14" t="s">
        <v>86</v>
      </c>
      <c r="P24" s="92" t="s">
        <v>97</v>
      </c>
      <c r="Q24" s="17">
        <v>5608228.3857900901</v>
      </c>
    </row>
    <row r="25" spans="1:19" x14ac:dyDescent="0.25">
      <c r="A25" s="11" t="s">
        <v>86</v>
      </c>
      <c r="B25" s="11" t="s">
        <v>100</v>
      </c>
      <c r="C25" s="18">
        <v>806354811508.198</v>
      </c>
      <c r="D25" s="44" t="s">
        <v>105</v>
      </c>
      <c r="E25" s="18">
        <v>5003094.0315962899</v>
      </c>
      <c r="F25" s="40">
        <f t="shared" si="0"/>
        <v>161171.22852694456</v>
      </c>
    </row>
    <row r="26" spans="1:19" x14ac:dyDescent="0.25">
      <c r="A26" s="11" t="s">
        <v>86</v>
      </c>
      <c r="B26" s="11" t="s">
        <v>101</v>
      </c>
      <c r="C26" s="18">
        <v>819475612470.53101</v>
      </c>
      <c r="D26" s="44" t="s">
        <v>106</v>
      </c>
      <c r="E26" s="18">
        <v>5110998.56174789</v>
      </c>
      <c r="F26" s="40">
        <f t="shared" si="0"/>
        <v>160335.71572563343</v>
      </c>
    </row>
    <row r="27" spans="1:19" x14ac:dyDescent="0.25">
      <c r="A27" s="11" t="s">
        <v>86</v>
      </c>
      <c r="B27" s="11" t="s">
        <v>102</v>
      </c>
      <c r="C27" s="18">
        <v>798198953186.98096</v>
      </c>
      <c r="D27" s="44" t="s">
        <v>107</v>
      </c>
      <c r="E27" s="18">
        <v>5097529.7437893804</v>
      </c>
      <c r="F27" s="40">
        <f t="shared" si="0"/>
        <v>156585.44300981736</v>
      </c>
      <c r="Q27" s="93" t="s">
        <v>145</v>
      </c>
      <c r="R27" s="94" t="s">
        <v>6</v>
      </c>
      <c r="S27" s="95" t="s">
        <v>125</v>
      </c>
    </row>
    <row r="28" spans="1:19" x14ac:dyDescent="0.25">
      <c r="A28" s="11" t="s">
        <v>86</v>
      </c>
      <c r="B28" s="11" t="s">
        <v>88</v>
      </c>
      <c r="C28" s="18">
        <v>749949734468.89404</v>
      </c>
      <c r="D28" s="44" t="s">
        <v>112</v>
      </c>
      <c r="E28" s="18">
        <v>5021206.56432667</v>
      </c>
      <c r="F28" s="40">
        <f t="shared" si="0"/>
        <v>149356.47933644813</v>
      </c>
      <c r="Q28" s="8">
        <f>AVERAGE(Q20:Q24)</f>
        <v>5639712.7228506524</v>
      </c>
      <c r="R28" s="9">
        <f>_xlfn.STDEV.P(Q20:Q24)</f>
        <v>118950.24192617727</v>
      </c>
      <c r="S28" s="10">
        <f>R28/Q28</f>
        <v>2.1091542738377749E-2</v>
      </c>
    </row>
    <row r="29" spans="1:19" x14ac:dyDescent="0.25">
      <c r="A29" s="11" t="s">
        <v>86</v>
      </c>
      <c r="B29" s="11" t="s">
        <v>108</v>
      </c>
      <c r="C29" s="18">
        <v>743792121914.10706</v>
      </c>
      <c r="D29" s="44" t="s">
        <v>113</v>
      </c>
      <c r="E29" s="18">
        <v>4852286.1462601302</v>
      </c>
      <c r="F29" s="40">
        <f t="shared" si="0"/>
        <v>153286.94547154443</v>
      </c>
    </row>
    <row r="30" spans="1:19" x14ac:dyDescent="0.25">
      <c r="A30" s="11" t="s">
        <v>86</v>
      </c>
      <c r="B30" s="11" t="s">
        <v>109</v>
      </c>
      <c r="C30" s="18">
        <v>758002465046.05396</v>
      </c>
      <c r="D30" s="44" t="s">
        <v>114</v>
      </c>
      <c r="E30" s="18">
        <v>4818559.0774266496</v>
      </c>
      <c r="F30" s="40">
        <f t="shared" si="0"/>
        <v>157308.94918297132</v>
      </c>
    </row>
    <row r="31" spans="1:19" x14ac:dyDescent="0.25">
      <c r="A31" s="11" t="s">
        <v>86</v>
      </c>
      <c r="B31" s="11" t="s">
        <v>110</v>
      </c>
      <c r="C31" s="18">
        <v>754825151956.33496</v>
      </c>
      <c r="D31" s="44" t="s">
        <v>115</v>
      </c>
      <c r="E31" s="18">
        <v>4819799.6285329098</v>
      </c>
      <c r="F31" s="40">
        <f t="shared" si="0"/>
        <v>156609.23899985751</v>
      </c>
    </row>
    <row r="32" spans="1:19" x14ac:dyDescent="0.25">
      <c r="A32" s="14" t="s">
        <v>86</v>
      </c>
      <c r="B32" s="14" t="s">
        <v>111</v>
      </c>
      <c r="C32" s="17">
        <v>757286587172.09998</v>
      </c>
      <c r="D32" s="7" t="s">
        <v>116</v>
      </c>
      <c r="E32" s="17">
        <v>4909148.0787655497</v>
      </c>
      <c r="F32" s="41">
        <f t="shared" si="0"/>
        <v>154260.28610701975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46E-4034-4859-A8E7-FCE850D90F66}">
  <dimension ref="A1:N27"/>
  <sheetViews>
    <sheetView workbookViewId="0">
      <selection activeCell="K37" sqref="K37"/>
    </sheetView>
  </sheetViews>
  <sheetFormatPr defaultRowHeight="15" x14ac:dyDescent="0.25"/>
  <cols>
    <col min="1" max="1" width="10.7109375" bestFit="1" customWidth="1"/>
    <col min="2" max="2" width="12.7109375" bestFit="1" customWidth="1"/>
    <col min="10" max="10" width="12" bestFit="1" customWidth="1"/>
    <col min="12" max="13" width="12.42578125" bestFit="1" customWidth="1"/>
  </cols>
  <sheetData>
    <row r="1" spans="1:14" x14ac:dyDescent="0.25">
      <c r="A1" s="1" t="s">
        <v>138</v>
      </c>
    </row>
    <row r="2" spans="1:14" x14ac:dyDescent="0.25">
      <c r="A2" s="1" t="s">
        <v>134</v>
      </c>
      <c r="C2" s="80"/>
      <c r="D2" s="80"/>
      <c r="E2" s="80"/>
      <c r="F2" s="80"/>
    </row>
    <row r="3" spans="1:14" x14ac:dyDescent="0.25">
      <c r="C3" s="81"/>
      <c r="D3" s="81"/>
      <c r="E3" s="81"/>
      <c r="F3" s="81"/>
      <c r="I3" s="2"/>
      <c r="K3" s="2"/>
      <c r="L3" s="2"/>
      <c r="N3" s="2"/>
    </row>
    <row r="4" spans="1:14" x14ac:dyDescent="0.25">
      <c r="A4" t="s">
        <v>117</v>
      </c>
      <c r="C4" s="81"/>
      <c r="D4" s="81"/>
      <c r="E4" s="81"/>
      <c r="F4" s="81"/>
      <c r="I4" s="2"/>
      <c r="K4" s="2"/>
      <c r="L4" s="2"/>
      <c r="N4" s="2"/>
    </row>
    <row r="5" spans="1:14" x14ac:dyDescent="0.25">
      <c r="A5" t="s">
        <v>137</v>
      </c>
      <c r="C5" s="81"/>
      <c r="D5" s="81"/>
      <c r="E5" s="81"/>
      <c r="F5" s="81"/>
      <c r="I5" s="2"/>
      <c r="K5" s="2"/>
      <c r="L5" s="2"/>
      <c r="N5" s="2"/>
    </row>
    <row r="6" spans="1:14" x14ac:dyDescent="0.25">
      <c r="C6" s="81"/>
      <c r="D6" s="81"/>
      <c r="E6" s="81"/>
      <c r="F6" s="81"/>
      <c r="I6" s="2"/>
      <c r="K6" s="2"/>
      <c r="L6" s="2"/>
      <c r="N6" s="2"/>
    </row>
    <row r="7" spans="1:14" x14ac:dyDescent="0.25">
      <c r="A7" s="25" t="s">
        <v>7</v>
      </c>
      <c r="B7" s="27" t="s">
        <v>21</v>
      </c>
      <c r="C7" s="27" t="s">
        <v>22</v>
      </c>
      <c r="D7" s="27" t="s">
        <v>32</v>
      </c>
      <c r="E7" s="26" t="s">
        <v>5</v>
      </c>
      <c r="H7" s="29" t="s">
        <v>5</v>
      </c>
      <c r="I7" s="28" t="s">
        <v>6</v>
      </c>
      <c r="J7" s="29" t="s">
        <v>47</v>
      </c>
      <c r="K7" s="28" t="s">
        <v>6</v>
      </c>
      <c r="L7" s="29" t="s">
        <v>48</v>
      </c>
      <c r="M7" s="28" t="s">
        <v>6</v>
      </c>
    </row>
    <row r="8" spans="1:14" x14ac:dyDescent="0.25">
      <c r="A8" s="82">
        <v>44168</v>
      </c>
      <c r="B8" s="83" t="s">
        <v>98</v>
      </c>
      <c r="C8" s="89">
        <v>2010095811513.1001</v>
      </c>
      <c r="D8" s="90">
        <v>27468392.458988301</v>
      </c>
      <c r="E8" s="84">
        <f t="shared" ref="E8:E17" si="0">C8/D8</f>
        <v>73178.501964185736</v>
      </c>
      <c r="H8" s="3">
        <f>AVERAGE(E8:E27)</f>
        <v>77003.350812386998</v>
      </c>
      <c r="I8" s="5">
        <f>_xlfn.STDEV.P(E8:E27)</f>
        <v>3781.9974439478233</v>
      </c>
      <c r="J8" s="6">
        <f>1000000 * 2 * PI()/H8</f>
        <v>81.596258356186411</v>
      </c>
      <c r="K8" s="4">
        <f>J8* I8/H8</f>
        <v>4.0075767779336866</v>
      </c>
      <c r="L8" s="6">
        <f>J8-Overview!N6</f>
        <v>41.296258356186414</v>
      </c>
      <c r="M8" s="4">
        <f>K8</f>
        <v>4.0075767779336866</v>
      </c>
    </row>
    <row r="9" spans="1:14" x14ac:dyDescent="0.25">
      <c r="A9" s="85">
        <v>44168</v>
      </c>
      <c r="B9" s="12" t="s">
        <v>99</v>
      </c>
      <c r="C9" s="44">
        <v>2038399282923.0601</v>
      </c>
      <c r="D9" s="18">
        <v>27156023.368319299</v>
      </c>
      <c r="E9" s="86">
        <f t="shared" si="0"/>
        <v>75062.510268020065</v>
      </c>
    </row>
    <row r="10" spans="1:14" x14ac:dyDescent="0.25">
      <c r="A10" s="85">
        <v>44168</v>
      </c>
      <c r="B10" s="12" t="s">
        <v>100</v>
      </c>
      <c r="C10" s="44">
        <v>2064913411932.1799</v>
      </c>
      <c r="D10" s="18">
        <v>27120524.544247199</v>
      </c>
      <c r="E10" s="86">
        <f t="shared" si="0"/>
        <v>76138.402432566116</v>
      </c>
    </row>
    <row r="11" spans="1:14" x14ac:dyDescent="0.25">
      <c r="A11" s="85">
        <v>44168</v>
      </c>
      <c r="B11" s="12" t="s">
        <v>101</v>
      </c>
      <c r="C11" s="44">
        <v>2046833911637.8999</v>
      </c>
      <c r="D11" s="18">
        <v>27566752.493233301</v>
      </c>
      <c r="E11" s="86">
        <f t="shared" si="0"/>
        <v>74250.092104259573</v>
      </c>
    </row>
    <row r="12" spans="1:14" x14ac:dyDescent="0.25">
      <c r="A12" s="85">
        <v>44168</v>
      </c>
      <c r="B12" s="12" t="s">
        <v>102</v>
      </c>
      <c r="C12" s="44">
        <v>1912924725223</v>
      </c>
      <c r="D12" s="18">
        <v>26870836.094896302</v>
      </c>
      <c r="E12" s="86">
        <f t="shared" si="0"/>
        <v>71189.624262801794</v>
      </c>
    </row>
    <row r="13" spans="1:14" x14ac:dyDescent="0.25">
      <c r="A13" s="85">
        <v>44168</v>
      </c>
      <c r="B13" s="12" t="s">
        <v>87</v>
      </c>
      <c r="C13" s="44">
        <v>1807252292685.3601</v>
      </c>
      <c r="D13" s="18">
        <v>24655957.738536701</v>
      </c>
      <c r="E13" s="86">
        <f t="shared" si="0"/>
        <v>73298.807203123404</v>
      </c>
    </row>
    <row r="14" spans="1:14" x14ac:dyDescent="0.25">
      <c r="A14" s="85">
        <v>44168</v>
      </c>
      <c r="B14" s="12" t="s">
        <v>89</v>
      </c>
      <c r="C14" s="44">
        <v>1819946565588.6599</v>
      </c>
      <c r="D14" s="18">
        <v>24338108.2888356</v>
      </c>
      <c r="E14" s="86">
        <f t="shared" si="0"/>
        <v>74777.650916423416</v>
      </c>
    </row>
    <row r="15" spans="1:14" x14ac:dyDescent="0.25">
      <c r="A15" s="85">
        <v>44168</v>
      </c>
      <c r="B15" s="12" t="s">
        <v>90</v>
      </c>
      <c r="C15" s="44">
        <v>1781397164915.1001</v>
      </c>
      <c r="D15" s="18">
        <v>24169826.7498965</v>
      </c>
      <c r="E15" s="86">
        <f t="shared" si="0"/>
        <v>73703.348532389806</v>
      </c>
    </row>
    <row r="16" spans="1:14" x14ac:dyDescent="0.25">
      <c r="A16" s="85">
        <v>44168</v>
      </c>
      <c r="B16" s="12" t="s">
        <v>91</v>
      </c>
      <c r="C16" s="44">
        <v>1816764021880.3701</v>
      </c>
      <c r="D16" s="18">
        <v>24420967.675514799</v>
      </c>
      <c r="E16" s="86">
        <f t="shared" si="0"/>
        <v>74393.613145064388</v>
      </c>
    </row>
    <row r="17" spans="1:5" x14ac:dyDescent="0.25">
      <c r="A17" s="85">
        <v>44168</v>
      </c>
      <c r="B17" s="12" t="s">
        <v>92</v>
      </c>
      <c r="C17" s="44">
        <v>1785825326134.0701</v>
      </c>
      <c r="D17" s="18">
        <v>24618980.427873399</v>
      </c>
      <c r="E17" s="86">
        <f t="shared" si="0"/>
        <v>72538.557450257926</v>
      </c>
    </row>
    <row r="18" spans="1:5" x14ac:dyDescent="0.25">
      <c r="A18" s="85">
        <v>44168</v>
      </c>
      <c r="B18" s="12" t="s">
        <v>76</v>
      </c>
      <c r="C18" s="44">
        <v>1880299631227.1799</v>
      </c>
      <c r="D18" s="18">
        <v>23151700</v>
      </c>
      <c r="E18" s="86">
        <f>C18/D18</f>
        <v>81216.482211983574</v>
      </c>
    </row>
    <row r="19" spans="1:5" x14ac:dyDescent="0.25">
      <c r="A19" s="85">
        <v>44168</v>
      </c>
      <c r="B19" s="12" t="s">
        <v>77</v>
      </c>
      <c r="C19" s="44">
        <v>1923935917395.98</v>
      </c>
      <c r="D19" s="18">
        <v>24234253.206335101</v>
      </c>
      <c r="E19" s="86">
        <f>C19/D19</f>
        <v>79389.115109725841</v>
      </c>
    </row>
    <row r="20" spans="1:5" x14ac:dyDescent="0.25">
      <c r="A20" s="85">
        <v>44168</v>
      </c>
      <c r="B20" s="12" t="s">
        <v>78</v>
      </c>
      <c r="C20" s="44">
        <v>1835605387631.8601</v>
      </c>
      <c r="D20" s="18">
        <v>24923693.163422301</v>
      </c>
      <c r="E20" s="86">
        <f>C20/D20</f>
        <v>73649.012431503186</v>
      </c>
    </row>
    <row r="21" spans="1:5" x14ac:dyDescent="0.25">
      <c r="A21" s="85">
        <v>44168</v>
      </c>
      <c r="B21" s="12" t="s">
        <v>79</v>
      </c>
      <c r="C21" s="44">
        <v>1896672104235.72</v>
      </c>
      <c r="D21" s="18">
        <v>24404988.721396301</v>
      </c>
      <c r="E21" s="86">
        <f>C21/D21</f>
        <v>77716.573684497256</v>
      </c>
    </row>
    <row r="22" spans="1:5" x14ac:dyDescent="0.25">
      <c r="A22" s="85">
        <v>44168</v>
      </c>
      <c r="B22" s="12" t="s">
        <v>80</v>
      </c>
      <c r="C22" s="44">
        <v>1957608746821.23</v>
      </c>
      <c r="D22" s="18">
        <v>23663005.792240199</v>
      </c>
      <c r="E22" s="86">
        <f>C22/D22</f>
        <v>82728.659410766311</v>
      </c>
    </row>
    <row r="23" spans="1:5" x14ac:dyDescent="0.25">
      <c r="A23" s="85">
        <v>44168</v>
      </c>
      <c r="B23" s="12" t="s">
        <v>67</v>
      </c>
      <c r="C23" s="44">
        <v>1913454038341.55</v>
      </c>
      <c r="D23" s="18">
        <v>23652968.1467865</v>
      </c>
      <c r="E23" s="86">
        <f t="shared" ref="E23:E27" si="1">C23/D23</f>
        <v>80896.994680200951</v>
      </c>
    </row>
    <row r="24" spans="1:5" x14ac:dyDescent="0.25">
      <c r="A24" s="85">
        <v>44168</v>
      </c>
      <c r="B24" s="12" t="s">
        <v>69</v>
      </c>
      <c r="C24" s="44">
        <v>1854559799212.95</v>
      </c>
      <c r="D24" s="18">
        <v>23313668.872420002</v>
      </c>
      <c r="E24" s="86">
        <f t="shared" si="1"/>
        <v>79548.174479173817</v>
      </c>
    </row>
    <row r="25" spans="1:5" x14ac:dyDescent="0.25">
      <c r="A25" s="85">
        <v>44168</v>
      </c>
      <c r="B25" s="12" t="s">
        <v>27</v>
      </c>
      <c r="C25" s="44">
        <v>1912352988717.6499</v>
      </c>
      <c r="D25" s="18">
        <v>23418242.838050701</v>
      </c>
      <c r="E25" s="86">
        <f t="shared" si="1"/>
        <v>81660.823228393478</v>
      </c>
    </row>
    <row r="26" spans="1:5" x14ac:dyDescent="0.25">
      <c r="A26" s="85">
        <v>44168</v>
      </c>
      <c r="B26" s="12" t="s">
        <v>68</v>
      </c>
      <c r="C26" s="44">
        <v>1907758918738.25</v>
      </c>
      <c r="D26" s="18">
        <v>23032952.810270201</v>
      </c>
      <c r="E26" s="86">
        <f t="shared" si="1"/>
        <v>82827.370613445455</v>
      </c>
    </row>
    <row r="27" spans="1:5" x14ac:dyDescent="0.25">
      <c r="A27" s="87">
        <v>44168</v>
      </c>
      <c r="B27" s="15" t="s">
        <v>70</v>
      </c>
      <c r="C27" s="7">
        <v>1888765295034.8</v>
      </c>
      <c r="D27" s="17">
        <v>23061086.461976498</v>
      </c>
      <c r="E27" s="88">
        <f t="shared" si="1"/>
        <v>81902.702118958172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72EC0-F4B8-412D-BE1E-3075CF7BF497}">
  <dimension ref="A1:E12"/>
  <sheetViews>
    <sheetView workbookViewId="0">
      <selection activeCell="B20" sqref="B20"/>
    </sheetView>
  </sheetViews>
  <sheetFormatPr defaultRowHeight="15" x14ac:dyDescent="0.25"/>
  <cols>
    <col min="1" max="1" width="24.28515625" bestFit="1" customWidth="1"/>
    <col min="3" max="3" width="11" bestFit="1" customWidth="1"/>
    <col min="4" max="4" width="9.140625" style="45"/>
    <col min="5" max="5" width="62.5703125" customWidth="1"/>
  </cols>
  <sheetData>
    <row r="1" spans="1:5" x14ac:dyDescent="0.25">
      <c r="A1" s="1" t="s">
        <v>51</v>
      </c>
    </row>
    <row r="2" spans="1:5" x14ac:dyDescent="0.25">
      <c r="A2" s="1" t="s">
        <v>134</v>
      </c>
    </row>
    <row r="3" spans="1:5" ht="15.75" thickBot="1" x14ac:dyDescent="0.3"/>
    <row r="4" spans="1:5" x14ac:dyDescent="0.25">
      <c r="A4" s="57" t="s">
        <v>119</v>
      </c>
      <c r="B4" s="54" t="s">
        <v>120</v>
      </c>
      <c r="C4" s="54" t="s">
        <v>6</v>
      </c>
      <c r="D4" s="54" t="s">
        <v>125</v>
      </c>
      <c r="E4" s="67" t="s">
        <v>128</v>
      </c>
    </row>
    <row r="5" spans="1:5" x14ac:dyDescent="0.25">
      <c r="A5" s="50" t="s">
        <v>5</v>
      </c>
      <c r="B5" s="49">
        <v>79311</v>
      </c>
      <c r="C5" s="49">
        <v>4072</v>
      </c>
      <c r="D5" s="62">
        <f>C5/B5</f>
        <v>5.1342184564562292E-2</v>
      </c>
      <c r="E5" s="72" t="s">
        <v>129</v>
      </c>
    </row>
    <row r="6" spans="1:5" x14ac:dyDescent="0.25">
      <c r="A6" s="51" t="s">
        <v>123</v>
      </c>
      <c r="B6" s="46">
        <v>0.36529</v>
      </c>
      <c r="C6" s="46">
        <v>6.2099299999999998E-3</v>
      </c>
      <c r="D6" s="63">
        <f t="shared" ref="D6:D8" si="0">C6/B6</f>
        <v>1.6999999999999998E-2</v>
      </c>
      <c r="E6" s="68" t="s">
        <v>130</v>
      </c>
    </row>
    <row r="7" spans="1:5" x14ac:dyDescent="0.25">
      <c r="A7" s="52" t="s">
        <v>124</v>
      </c>
      <c r="B7" s="59">
        <v>1.43418E-5</v>
      </c>
      <c r="C7" s="60">
        <v>7.1709199999999997E-7</v>
      </c>
      <c r="D7" s="47">
        <f t="shared" si="0"/>
        <v>5.0000139452509446E-2</v>
      </c>
      <c r="E7" s="69"/>
    </row>
    <row r="8" spans="1:5" x14ac:dyDescent="0.25">
      <c r="A8" s="53" t="s">
        <v>121</v>
      </c>
      <c r="B8" s="48">
        <f>B6*B7</f>
        <v>5.2389161220000006E-6</v>
      </c>
      <c r="C8" s="48">
        <f>B8*SQRT(D7^2+D6^2)</f>
        <v>2.7667300564960285E-7</v>
      </c>
      <c r="D8" s="64">
        <f t="shared" si="0"/>
        <v>5.2811115735897786E-2</v>
      </c>
      <c r="E8" s="70"/>
    </row>
    <row r="9" spans="1:5" x14ac:dyDescent="0.25">
      <c r="A9" s="51" t="s">
        <v>126</v>
      </c>
      <c r="B9" s="46">
        <v>1.2350000000000001</v>
      </c>
      <c r="C9" s="46">
        <v>4.3225E-2</v>
      </c>
      <c r="D9" s="63">
        <f t="shared" ref="D9:D11" si="1">C9/B9</f>
        <v>3.4999999999999996E-2</v>
      </c>
      <c r="E9" s="68" t="s">
        <v>130</v>
      </c>
    </row>
    <row r="10" spans="1:5" x14ac:dyDescent="0.25">
      <c r="A10" s="52" t="s">
        <v>124</v>
      </c>
      <c r="B10" s="59">
        <v>9.8101699999999996E-5</v>
      </c>
      <c r="C10" s="60">
        <v>2.0066899999999999E-5</v>
      </c>
      <c r="D10" s="47">
        <f t="shared" si="1"/>
        <v>0.20455201082142307</v>
      </c>
      <c r="E10" s="69" t="s">
        <v>131</v>
      </c>
    </row>
    <row r="11" spans="1:5" x14ac:dyDescent="0.25">
      <c r="A11" s="53" t="s">
        <v>122</v>
      </c>
      <c r="B11" s="48">
        <f>B9*B10</f>
        <v>1.211555995E-4</v>
      </c>
      <c r="C11" s="58">
        <f>B11*SQRT(D10^2+D9^2)</f>
        <v>2.5142786451440952E-5</v>
      </c>
      <c r="D11" s="65">
        <f t="shared" si="1"/>
        <v>0.20752475787502458</v>
      </c>
      <c r="E11" s="70"/>
    </row>
    <row r="12" spans="1:5" ht="15.75" thickBot="1" x14ac:dyDescent="0.3">
      <c r="A12" s="56" t="s">
        <v>127</v>
      </c>
      <c r="B12" s="55">
        <f>1000000*(B8*(2*PI()-B5 * Overview!N4 * 0.000001))/(B5*B11)</f>
        <v>1.7695223204206469</v>
      </c>
      <c r="C12" s="61">
        <f>1000000*SQRT(((-2*PI()+B5*(0.000001*38.3))^2*C8^2+B8^2*(0.000001*38.3)^2*C5^2+B5^2*B11^2*B8^2*(-2*PI()+B5*(0.000001*38.3))^2*ABS((B11^2*C5^2+B5^2*C11^2)/(B5^4*B11^4)))/(B5^2*B11^2))</f>
        <v>0.39883239804670118</v>
      </c>
      <c r="D12" s="66">
        <f>C12/B12</f>
        <v>0.22538986564006247</v>
      </c>
      <c r="E12" s="7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Overview</vt:lpstr>
      <vt:lpstr>Experiment 1</vt:lpstr>
      <vt:lpstr>Experiment 2</vt:lpstr>
      <vt:lpstr>Experiment 3</vt:lpstr>
      <vt:lpstr>Experiment 4</vt:lpstr>
      <vt:lpstr>Experiment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Physics</dc:creator>
  <cp:lastModifiedBy>Thomas Doherty</cp:lastModifiedBy>
  <cp:lastPrinted>2022-11-24T21:30:52Z</cp:lastPrinted>
  <dcterms:created xsi:type="dcterms:W3CDTF">2022-11-24T14:26:39Z</dcterms:created>
  <dcterms:modified xsi:type="dcterms:W3CDTF">2023-01-23T17:17:52Z</dcterms:modified>
</cp:coreProperties>
</file>