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omments3.xml" ContentType="application/vnd.openxmlformats-officedocument.spreadsheetml.comments+xml"/>
  <Override PartName="/xl/drawings/drawing3.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4508" yWindow="468" windowWidth="5988" windowHeight="8940" firstSheet="2" activeTab="2"/>
  </bookViews>
  <sheets>
    <sheet name="CoverSheet" sheetId="19" state="hidden" r:id="rId1"/>
    <sheet name="InputRanges" sheetId="18" state="hidden" r:id="rId2"/>
    <sheet name="User" sheetId="8" r:id="rId3"/>
    <sheet name="Calc" sheetId="3" state="veryHidden" r:id="rId4"/>
    <sheet name="Settings" sheetId="14" r:id="rId5"/>
    <sheet name="Summary" sheetId="9" r:id="rId6"/>
    <sheet name="RawData" sheetId="15" r:id="rId7"/>
    <sheet name="Report" sheetId="17" r:id="rId8"/>
    <sheet name="Command" sheetId="13" state="veryHidden" r:id="rId9"/>
    <sheet name="Module1" sheetId="4" state="veryHidden" r:id=""/>
  </sheets>
  <functionGroups builtInGroupCount="17"/>
  <definedNames>
    <definedName name="A_cal">Settings!$C$6</definedName>
    <definedName name="AccessSummary">Settings!$E$6</definedName>
    <definedName name="AccessSummaryFN">Settings!$F$6</definedName>
    <definedName name="Air_Voltage">Settings!$C$10</definedName>
    <definedName name="AirVoltageError">Calc!$R$4</definedName>
    <definedName name="AirVoltageRange">Settings!$E$25</definedName>
    <definedName name="AirVStdev">Settings!$O$15</definedName>
    <definedName name="AnalysisMode">User!$H$6</definedName>
    <definedName name="AnalysisModeErrorMsg">Calc!$T$1</definedName>
    <definedName name="AreaFrac">Settings!$C$15</definedName>
    <definedName name="Auger_Coefficient">Settings!$C$13</definedName>
    <definedName name="AugerModel">Settings!$C$17</definedName>
    <definedName name="AugerModelList">Command!$B$40:$B$41</definedName>
    <definedName name="AutoRescale">Settings!$E$14</definedName>
    <definedName name="AutoSummary">Settings!$E$7</definedName>
    <definedName name="AveInvTau">Calc!#REF!</definedName>
    <definedName name="B_cal">Settings!$C$7</definedName>
    <definedName name="BandGapOption">Settings!$C$18</definedName>
    <definedName name="BaseGainFlag">Command!$E$5</definedName>
    <definedName name="BiasLight">User!$G$6</definedName>
    <definedName name="BiasPtCD">Calc!$M$6</definedName>
    <definedName name="C_cal">Settings!$C$9</definedName>
    <definedName name="C_wafer">Settings!$H$6</definedName>
    <definedName name="CouplingMode">Settings!$C$14</definedName>
    <definedName name="CoverSheetErrorMsg">Calc!$T$2</definedName>
    <definedName name="cutoffFlag">Command!$E$13</definedName>
    <definedName name="Dark_Voltage">Calc!$A$6</definedName>
    <definedName name="ExcelAutosave">Settings!$E$11</definedName>
    <definedName name="ExcelSummary">Settings!$E$4</definedName>
    <definedName name="ExcelSummaryFN">Settings!$F$4</definedName>
    <definedName name="FirstPoint">Calc!$L$6</definedName>
    <definedName name="Fit_Range">Settings!$C$16</definedName>
    <definedName name="FitIntercept">Calc!$Q$6</definedName>
    <definedName name="FitInterceptAuger">Calc!$U$6</definedName>
    <definedName name="FitRangeMax">Calc!$H$6</definedName>
    <definedName name="FitRangeMin">Calc!$G$6</definedName>
    <definedName name="FitSlope">Calc!$P$6</definedName>
    <definedName name="FitSlopeAuger">Calc!$T$6</definedName>
    <definedName name="flashWaitFlag">Command!$E$10</definedName>
    <definedName name="ImpliedFF">Calc!$AG$6</definedName>
    <definedName name="ImpliedVoc1sun">Calc!$AB$6</definedName>
    <definedName name="InputRangeAvg">InputRanges!$K$5</definedName>
    <definedName name="InputRangeFit">InputRanges!$J$5</definedName>
    <definedName name="InputRangeMCD">InputRanges!$F$5</definedName>
    <definedName name="InputRangeMode">InputRanges!$G$5</definedName>
    <definedName name="InputRangeOptConst">InputRanges!$E$5</definedName>
    <definedName name="InputRangePC">InputRanges!$H$5</definedName>
    <definedName name="InputRangeRef">InputRanges!$I$5</definedName>
    <definedName name="InputRangeType">InputRanges!$D$5</definedName>
    <definedName name="InputResCoverSheet">CoverSheet!$D$5</definedName>
    <definedName name="InputResistivity">User!$C$6</definedName>
    <definedName name="InstrumentSN">Settings!$C$4</definedName>
    <definedName name="InstrumentType">Settings!$C$3</definedName>
    <definedName name="IsLogged">User!$K$6</definedName>
    <definedName name="Jo">Calc!$AA$6</definedName>
    <definedName name="LifetimeTextLabel">Calc!$M$1</definedName>
    <definedName name="LightBiasErrorMsg">Calc!$R$3</definedName>
    <definedName name="ltransientFlag">Command!$E$7</definedName>
    <definedName name="MaxApparentCD">Calc!$J$6</definedName>
    <definedName name="MaxSuns">Calc!$F$6</definedName>
    <definedName name="MaxTauLimit">Settings!$C$24</definedName>
    <definedName name="MCDErrorMsg">Calc!$R$2</definedName>
    <definedName name="MeasDate">Calc!$F$2</definedName>
    <definedName name="MeasTime">Calc!$F$3</definedName>
    <definedName name="MeasureCmd">Command!$H$4</definedName>
    <definedName name="MeasuredLifetime">Calc!$R$6</definedName>
    <definedName name="MeasuredLifetimeAuger">Calc!$V$6</definedName>
    <definedName name="MeasuredResistivity">Calc!$C$6</definedName>
    <definedName name="MinApparentCD">Calc!$I$6</definedName>
    <definedName name="MinTauLimit">Settings!$C$23</definedName>
    <definedName name="Mode_List">Command!$B$32:$B$35</definedName>
    <definedName name="ntransientFlag">Command!$E$8</definedName>
    <definedName name="numflashes">Command!$C$11</definedName>
    <definedName name="numFlashesFlag">Command!$E$11</definedName>
    <definedName name="NumFlashesInitial">Settings!$E$20</definedName>
    <definedName name="ONOFFList">Command!$B$43:$B$44</definedName>
    <definedName name="OptConst">User!$E$6</definedName>
    <definedName name="PassFailMsg">Settings!$C$25</definedName>
    <definedName name="PathName">Command!$H$3</definedName>
    <definedName name="PC_ZoomIn">Command!$C$23</definedName>
    <definedName name="PC_ZoomOut">Command!$C$22</definedName>
    <definedName name="PCGainFlag">Command!$E$3</definedName>
    <definedName name="PCRange">Command!$C$3</definedName>
    <definedName name="PCRefRatio">Calc!$E$6</definedName>
    <definedName name="PCVoltageUpperBound">Command!$C$17</definedName>
    <definedName name="PCVoltUpperBound">Command!$C$17</definedName>
    <definedName name="PlotList">Command!#REF!</definedName>
    <definedName name="_xlnm.Print_Area" localSheetId="7">Report!$A$1:$G$50</definedName>
    <definedName name="PulseLength">Settings!$E$28</definedName>
    <definedName name="PulseLengthFlag">Command!$E$6</definedName>
    <definedName name="QSSFlashDelay">Settings!$E$21</definedName>
    <definedName name="Ref_ZoomIn">Command!$E$23</definedName>
    <definedName name="Ref_ZoomOut">Command!$E$22</definedName>
    <definedName name="RefCellCal">Settings!$C$5</definedName>
    <definedName name="RefCellErrorMsg">Calc!$R$1</definedName>
    <definedName name="RefGainFlag">Command!$E$4</definedName>
    <definedName name="RefRange">Command!$C$4</definedName>
    <definedName name="RefVoltageUpperBound">Command!$E$17</definedName>
    <definedName name="SampleDoping">Calc!$D$6</definedName>
    <definedName name="SampleInputType">CoverSheet!$A$5</definedName>
    <definedName name="SampleNameCoverSheet">CoverSheet!$B$5</definedName>
    <definedName name="SampleNameUserSheet">User!$A$6</definedName>
    <definedName name="SampleType">User!$D$6</definedName>
    <definedName name="SheetResistance">Calc!$B$6</definedName>
    <definedName name="ShowUserForm">Settings!$E$17</definedName>
    <definedName name="solver_adj" localSheetId="3" hidden="1">Calc!#REF!,Calc!#REF!</definedName>
    <definedName name="solver_drv" localSheetId="3" hidden="1">1</definedName>
    <definedName name="solver_est" localSheetId="3" hidden="1">1</definedName>
    <definedName name="solver_itr" localSheetId="3" hidden="1">10</definedName>
    <definedName name="solver_lin" localSheetId="3" hidden="1">1</definedName>
    <definedName name="solver_num" localSheetId="3" hidden="1">0</definedName>
    <definedName name="solver_nwt" localSheetId="3" hidden="1">1</definedName>
    <definedName name="solver_opt" localSheetId="3" hidden="1">Calc!#REF!</definedName>
    <definedName name="solver_pre" localSheetId="3" hidden="1">0.001</definedName>
    <definedName name="solver_scl" localSheetId="3" hidden="1">2</definedName>
    <definedName name="solver_sho" localSheetId="3" hidden="1">2</definedName>
    <definedName name="solver_tim" localSheetId="3" hidden="1">30</definedName>
    <definedName name="solver_tol" localSheetId="3" hidden="1">0.05</definedName>
    <definedName name="solver_typ" localSheetId="3" hidden="1">2</definedName>
    <definedName name="solver_val" localSheetId="3" hidden="1">0</definedName>
    <definedName name="SpecMCD">User!$F$6</definedName>
    <definedName name="SpecMCDminusTraps">Calc!$O$6</definedName>
    <definedName name="TauFitIntercept">Calc!$Y$6</definedName>
    <definedName name="TauInvspecMCD">Calc!$X$6</definedName>
    <definedName name="TextSummary">Settings!$E$5</definedName>
    <definedName name="TextSummaryFN">Settings!$F$5</definedName>
    <definedName name="TF_List">Command!$B$29:$B$30</definedName>
    <definedName name="TF_PassFail">Settings!$C$22</definedName>
    <definedName name="Thickness">User!$B$6</definedName>
    <definedName name="ThicknessCoverSheet">CoverSheet!$C$5</definedName>
    <definedName name="TimeofMaxCD">Calc!$K$6</definedName>
    <definedName name="TimeScaleFlags">Command!$H$7</definedName>
    <definedName name="TNumTaus">Settings!$E$30</definedName>
    <definedName name="TransFlashDelay">Settings!$E$22</definedName>
    <definedName name="Traps">Calc!$N$6</definedName>
    <definedName name="TSampleTime">Settings!$E$29</definedName>
    <definedName name="type_list">Command!$B$37:$B$38</definedName>
    <definedName name="VRangeList">Command!$D$30:$D$37</definedName>
    <definedName name="xferFlag">Command!$E$9</definedName>
    <definedName name="ZeroInstrCmd">Command!$H$5</definedName>
    <definedName name="ZeroInstTime">Settings!$O$17</definedName>
  </definedNames>
  <calcPr calcId="145621"/>
</workbook>
</file>

<file path=xl/calcChain.xml><?xml version="1.0" encoding="utf-8"?>
<calcChain xmlns="http://schemas.openxmlformats.org/spreadsheetml/2006/main">
  <c r="AA134" i="3" l="1"/>
  <c r="Z134" i="3"/>
  <c r="C13" i="13" l="1"/>
  <c r="E13" i="13" l="1"/>
  <c r="E9" i="3" l="1"/>
  <c r="D9" i="3" l="1"/>
  <c r="C5" i="18" l="1"/>
  <c r="E5" i="18" s="1"/>
  <c r="D5" i="18" l="1"/>
  <c r="H5" i="18"/>
  <c r="K5" i="18"/>
  <c r="G5" i="18"/>
  <c r="J5" i="18"/>
  <c r="F5" i="18"/>
  <c r="I5" i="18"/>
  <c r="T2" i="3" l="1"/>
  <c r="E6" i="3"/>
  <c r="C18" i="14" l="1"/>
  <c r="G6" i="3" l="1"/>
  <c r="D17" i="3" l="1"/>
  <c r="B31" i="17" l="1"/>
  <c r="N134" i="3" l="1"/>
  <c r="C34" i="17" l="1"/>
  <c r="D41" i="17" l="1"/>
  <c r="D45" i="17"/>
  <c r="D39" i="17"/>
  <c r="D38" i="17"/>
  <c r="B30" i="17"/>
  <c r="B29" i="17"/>
  <c r="D22" i="17"/>
  <c r="D19" i="17"/>
  <c r="D18" i="17"/>
  <c r="D9" i="17"/>
  <c r="A2" i="15" l="1"/>
  <c r="B2" i="15"/>
  <c r="C2" i="15"/>
  <c r="E2" i="15"/>
  <c r="F2" i="15"/>
  <c r="A3" i="15"/>
  <c r="B3" i="15"/>
  <c r="C3" i="15"/>
  <c r="E3" i="15"/>
  <c r="F3" i="15"/>
  <c r="A4" i="15"/>
  <c r="B4" i="15"/>
  <c r="C4" i="15"/>
  <c r="A5" i="15"/>
  <c r="B5" i="15"/>
  <c r="C5" i="15"/>
  <c r="A6" i="15"/>
  <c r="B6" i="15"/>
  <c r="C6" i="15"/>
  <c r="A7" i="15"/>
  <c r="B7" i="15"/>
  <c r="C7" i="15"/>
  <c r="A8" i="15"/>
  <c r="B8" i="15"/>
  <c r="C8" i="15"/>
  <c r="A9" i="15"/>
  <c r="B9" i="15"/>
  <c r="C9" i="15"/>
  <c r="A10" i="15"/>
  <c r="B10" i="15"/>
  <c r="C10" i="15"/>
  <c r="A11" i="15"/>
  <c r="B11" i="15"/>
  <c r="C11" i="15"/>
  <c r="A12" i="15"/>
  <c r="B12" i="15"/>
  <c r="C12" i="15"/>
  <c r="A13" i="15"/>
  <c r="B13" i="15"/>
  <c r="C13" i="15"/>
  <c r="A14" i="15"/>
  <c r="B14" i="15"/>
  <c r="C14" i="15"/>
  <c r="A15" i="15"/>
  <c r="B15" i="15"/>
  <c r="C15" i="15"/>
  <c r="A16" i="15"/>
  <c r="B16" i="15"/>
  <c r="C16" i="15"/>
  <c r="A17" i="15"/>
  <c r="B17" i="15"/>
  <c r="C17" i="15"/>
  <c r="A18" i="15"/>
  <c r="B18" i="15"/>
  <c r="C18" i="15"/>
  <c r="A19" i="15"/>
  <c r="B19" i="15"/>
  <c r="C19" i="15"/>
  <c r="A20" i="15"/>
  <c r="B20" i="15"/>
  <c r="C20" i="15"/>
  <c r="A21" i="15"/>
  <c r="B21" i="15"/>
  <c r="C21" i="15"/>
  <c r="A22" i="15"/>
  <c r="B22" i="15"/>
  <c r="C22" i="15"/>
  <c r="A23" i="15"/>
  <c r="B23" i="15"/>
  <c r="C23" i="15"/>
  <c r="A24" i="15"/>
  <c r="B24" i="15"/>
  <c r="C24" i="15"/>
  <c r="A25" i="15"/>
  <c r="B25" i="15"/>
  <c r="C25" i="15"/>
  <c r="A26" i="15"/>
  <c r="B26" i="15"/>
  <c r="C26" i="15"/>
  <c r="A27" i="15"/>
  <c r="B27" i="15"/>
  <c r="C27" i="15"/>
  <c r="A28" i="15"/>
  <c r="B28" i="15"/>
  <c r="C28" i="15"/>
  <c r="A29" i="15"/>
  <c r="B29" i="15"/>
  <c r="C29" i="15"/>
  <c r="A30" i="15"/>
  <c r="B30" i="15"/>
  <c r="C30" i="15"/>
  <c r="A31" i="15"/>
  <c r="B31" i="15"/>
  <c r="C31" i="15"/>
  <c r="A32" i="15"/>
  <c r="B32" i="15"/>
  <c r="C32" i="15"/>
  <c r="A33" i="15"/>
  <c r="B33" i="15"/>
  <c r="C33" i="15"/>
  <c r="A34" i="15"/>
  <c r="B34" i="15"/>
  <c r="C34" i="15"/>
  <c r="A35" i="15"/>
  <c r="B35" i="15"/>
  <c r="C35" i="15"/>
  <c r="A36" i="15"/>
  <c r="B36" i="15"/>
  <c r="C36" i="15"/>
  <c r="A37" i="15"/>
  <c r="B37" i="15"/>
  <c r="C37" i="15"/>
  <c r="A38" i="15"/>
  <c r="B38" i="15"/>
  <c r="C38" i="15"/>
  <c r="A39" i="15"/>
  <c r="B39" i="15"/>
  <c r="C39" i="15"/>
  <c r="A40" i="15"/>
  <c r="B40" i="15"/>
  <c r="C40" i="15"/>
  <c r="A41" i="15"/>
  <c r="B41" i="15"/>
  <c r="C41" i="15"/>
  <c r="A42" i="15"/>
  <c r="B42" i="15"/>
  <c r="C42" i="15"/>
  <c r="A43" i="15"/>
  <c r="B43" i="15"/>
  <c r="C43" i="15"/>
  <c r="A44" i="15"/>
  <c r="B44" i="15"/>
  <c r="C44" i="15"/>
  <c r="A45" i="15"/>
  <c r="B45" i="15"/>
  <c r="C45" i="15"/>
  <c r="A46" i="15"/>
  <c r="B46" i="15"/>
  <c r="C46" i="15"/>
  <c r="A47" i="15"/>
  <c r="B47" i="15"/>
  <c r="C47" i="15"/>
  <c r="A48" i="15"/>
  <c r="B48" i="15"/>
  <c r="C48" i="15"/>
  <c r="A49" i="15"/>
  <c r="B49" i="15"/>
  <c r="C49" i="15"/>
  <c r="A50" i="15"/>
  <c r="B50" i="15"/>
  <c r="C50" i="15"/>
  <c r="A51" i="15"/>
  <c r="B51" i="15"/>
  <c r="C51" i="15"/>
  <c r="A52" i="15"/>
  <c r="B52" i="15"/>
  <c r="C52" i="15"/>
  <c r="A53" i="15"/>
  <c r="B53" i="15"/>
  <c r="C53" i="15"/>
  <c r="A54" i="15"/>
  <c r="B54" i="15"/>
  <c r="C54" i="15"/>
  <c r="A55" i="15"/>
  <c r="B55" i="15"/>
  <c r="C55" i="15"/>
  <c r="A56" i="15"/>
  <c r="B56" i="15"/>
  <c r="C56" i="15"/>
  <c r="A57" i="15"/>
  <c r="B57" i="15"/>
  <c r="C57" i="15"/>
  <c r="A58" i="15"/>
  <c r="B58" i="15"/>
  <c r="C58" i="15"/>
  <c r="A59" i="15"/>
  <c r="B59" i="15"/>
  <c r="C59" i="15"/>
  <c r="A60" i="15"/>
  <c r="B60" i="15"/>
  <c r="C60" i="15"/>
  <c r="A61" i="15"/>
  <c r="B61" i="15"/>
  <c r="C61" i="15"/>
  <c r="A62" i="15"/>
  <c r="B62" i="15"/>
  <c r="C62" i="15"/>
  <c r="A63" i="15"/>
  <c r="B63" i="15"/>
  <c r="C63" i="15"/>
  <c r="A64" i="15"/>
  <c r="B64" i="15"/>
  <c r="C64" i="15"/>
  <c r="A65" i="15"/>
  <c r="B65" i="15"/>
  <c r="C65" i="15"/>
  <c r="A66" i="15"/>
  <c r="B66" i="15"/>
  <c r="C66" i="15"/>
  <c r="A67" i="15"/>
  <c r="B67" i="15"/>
  <c r="C67" i="15"/>
  <c r="A68" i="15"/>
  <c r="B68" i="15"/>
  <c r="C68" i="15"/>
  <c r="A69" i="15"/>
  <c r="B69" i="15"/>
  <c r="C69" i="15"/>
  <c r="A70" i="15"/>
  <c r="B70" i="15"/>
  <c r="C70" i="15"/>
  <c r="A71" i="15"/>
  <c r="B71" i="15"/>
  <c r="C71" i="15"/>
  <c r="A72" i="15"/>
  <c r="B72" i="15"/>
  <c r="C72" i="15"/>
  <c r="A73" i="15"/>
  <c r="B73" i="15"/>
  <c r="C73" i="15"/>
  <c r="A74" i="15"/>
  <c r="B74" i="15"/>
  <c r="C74" i="15"/>
  <c r="A75" i="15"/>
  <c r="B75" i="15"/>
  <c r="C75" i="15"/>
  <c r="A76" i="15"/>
  <c r="B76" i="15"/>
  <c r="C76" i="15"/>
  <c r="A77" i="15"/>
  <c r="B77" i="15"/>
  <c r="C77" i="15"/>
  <c r="A78" i="15"/>
  <c r="B78" i="15"/>
  <c r="C78" i="15"/>
  <c r="A79" i="15"/>
  <c r="B79" i="15"/>
  <c r="C79" i="15"/>
  <c r="A80" i="15"/>
  <c r="B80" i="15"/>
  <c r="C80" i="15"/>
  <c r="A81" i="15"/>
  <c r="B81" i="15"/>
  <c r="C81" i="15"/>
  <c r="A82" i="15"/>
  <c r="B82" i="15"/>
  <c r="C82" i="15"/>
  <c r="A83" i="15"/>
  <c r="B83" i="15"/>
  <c r="C83" i="15"/>
  <c r="A84" i="15"/>
  <c r="B84" i="15"/>
  <c r="C84" i="15"/>
  <c r="A85" i="15"/>
  <c r="B85" i="15"/>
  <c r="C85" i="15"/>
  <c r="A86" i="15"/>
  <c r="B86" i="15"/>
  <c r="C86" i="15"/>
  <c r="A87" i="15"/>
  <c r="B87" i="15"/>
  <c r="C87" i="15"/>
  <c r="A88" i="15"/>
  <c r="B88" i="15"/>
  <c r="C88" i="15"/>
  <c r="A89" i="15"/>
  <c r="B89" i="15"/>
  <c r="C89" i="15"/>
  <c r="A90" i="15"/>
  <c r="B90" i="15"/>
  <c r="C90" i="15"/>
  <c r="A91" i="15"/>
  <c r="B91" i="15"/>
  <c r="C91" i="15"/>
  <c r="A92" i="15"/>
  <c r="B92" i="15"/>
  <c r="C92" i="15"/>
  <c r="A93" i="15"/>
  <c r="B93" i="15"/>
  <c r="C93" i="15"/>
  <c r="A94" i="15"/>
  <c r="B94" i="15"/>
  <c r="C94" i="15"/>
  <c r="A95" i="15"/>
  <c r="B95" i="15"/>
  <c r="C95" i="15"/>
  <c r="A96" i="15"/>
  <c r="B96" i="15"/>
  <c r="C96" i="15"/>
  <c r="A97" i="15"/>
  <c r="B97" i="15"/>
  <c r="C97" i="15"/>
  <c r="A98" i="15"/>
  <c r="B98" i="15"/>
  <c r="C98" i="15"/>
  <c r="A99" i="15"/>
  <c r="B99" i="15"/>
  <c r="C99" i="15"/>
  <c r="A100" i="15"/>
  <c r="B100" i="15"/>
  <c r="C100" i="15"/>
  <c r="A101" i="15"/>
  <c r="B101" i="15"/>
  <c r="C101" i="15"/>
  <c r="A102" i="15"/>
  <c r="B102" i="15"/>
  <c r="C102" i="15"/>
  <c r="A103" i="15"/>
  <c r="B103" i="15"/>
  <c r="C103" i="15"/>
  <c r="A104" i="15"/>
  <c r="B104" i="15"/>
  <c r="C104" i="15"/>
  <c r="A105" i="15"/>
  <c r="B105" i="15"/>
  <c r="C105" i="15"/>
  <c r="A106" i="15"/>
  <c r="B106" i="15"/>
  <c r="C106" i="15"/>
  <c r="A107" i="15"/>
  <c r="B107" i="15"/>
  <c r="C107" i="15"/>
  <c r="A108" i="15"/>
  <c r="B108" i="15"/>
  <c r="C108" i="15"/>
  <c r="A109" i="15"/>
  <c r="B109" i="15"/>
  <c r="C109" i="15"/>
  <c r="A110" i="15"/>
  <c r="B110" i="15"/>
  <c r="C110" i="15"/>
  <c r="A111" i="15"/>
  <c r="B111" i="15"/>
  <c r="C111" i="15"/>
  <c r="A112" i="15"/>
  <c r="B112" i="15"/>
  <c r="C112" i="15"/>
  <c r="A113" i="15"/>
  <c r="B113" i="15"/>
  <c r="C113" i="15"/>
  <c r="A114" i="15"/>
  <c r="B114" i="15"/>
  <c r="C114" i="15"/>
  <c r="A115" i="15"/>
  <c r="B115" i="15"/>
  <c r="C115" i="15"/>
  <c r="A116" i="15"/>
  <c r="B116" i="15"/>
  <c r="C116" i="15"/>
  <c r="A117" i="15"/>
  <c r="B117" i="15"/>
  <c r="C117" i="15"/>
  <c r="A118" i="15"/>
  <c r="B118" i="15"/>
  <c r="C118" i="15"/>
  <c r="A119" i="15"/>
  <c r="B119" i="15"/>
  <c r="C119" i="15"/>
  <c r="A120" i="15"/>
  <c r="B120" i="15"/>
  <c r="C120" i="15"/>
  <c r="A121" i="15"/>
  <c r="B121" i="15"/>
  <c r="C121" i="15"/>
  <c r="A122" i="15"/>
  <c r="B122" i="15"/>
  <c r="C122" i="15"/>
  <c r="A123" i="15"/>
  <c r="B123" i="15"/>
  <c r="C123" i="15"/>
  <c r="A124" i="15"/>
  <c r="B124" i="15"/>
  <c r="C124" i="15"/>
  <c r="A125" i="15"/>
  <c r="B125" i="15"/>
  <c r="C125" i="15"/>
  <c r="E125" i="15"/>
  <c r="F125" i="15"/>
  <c r="A126" i="15"/>
  <c r="B126" i="15"/>
  <c r="C126" i="15"/>
  <c r="E126" i="15"/>
  <c r="F126" i="15"/>
  <c r="O15" i="14" l="1"/>
  <c r="AB10" i="3"/>
  <c r="AB11"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9" i="3"/>
  <c r="C6" i="13" l="1"/>
  <c r="C7" i="13"/>
  <c r="C8" i="13"/>
  <c r="E6" i="13"/>
  <c r="H7" i="13" s="1"/>
  <c r="E21" i="14"/>
  <c r="C10" i="13" s="1"/>
  <c r="E21" i="13" l="1"/>
  <c r="C21" i="13"/>
  <c r="E18" i="13"/>
  <c r="C18" i="13"/>
  <c r="B18" i="13"/>
  <c r="E17" i="13"/>
  <c r="C17" i="13"/>
  <c r="D17" i="13" s="1"/>
  <c r="F17" i="13" l="1"/>
  <c r="D18" i="13"/>
  <c r="F18" i="13"/>
  <c r="C12" i="13" l="1"/>
  <c r="D12" i="13" s="1"/>
  <c r="E12" i="13" s="1"/>
  <c r="H5" i="13" s="1"/>
  <c r="E11" i="13"/>
  <c r="E9" i="13"/>
  <c r="E8" i="13"/>
  <c r="E7" i="13"/>
  <c r="D5" i="13" l="1"/>
  <c r="E5" i="13" s="1"/>
  <c r="D4" i="13"/>
  <c r="D3" i="13"/>
  <c r="E22" i="13" l="1"/>
  <c r="E23" i="13"/>
  <c r="C22" i="13"/>
  <c r="C23" i="13"/>
  <c r="E3" i="13"/>
  <c r="X2" i="9"/>
  <c r="V2" i="9"/>
  <c r="U2" i="9"/>
  <c r="T2" i="9"/>
  <c r="I2" i="9" l="1"/>
  <c r="H2" i="9"/>
  <c r="G2" i="9"/>
  <c r="F2" i="9"/>
  <c r="D2" i="9"/>
  <c r="C2" i="9"/>
  <c r="B2" i="9"/>
  <c r="A2" i="9"/>
  <c r="E12" i="14"/>
  <c r="C10" i="14" l="1"/>
  <c r="C9" i="14" s="1"/>
  <c r="D43" i="17" s="1"/>
  <c r="V139" i="3"/>
  <c r="D133" i="3"/>
  <c r="E133" i="3"/>
  <c r="D132" i="3"/>
  <c r="E132" i="3"/>
  <c r="D131" i="3"/>
  <c r="E131" i="3"/>
  <c r="D130" i="3"/>
  <c r="E130" i="3"/>
  <c r="D129" i="3"/>
  <c r="E129" i="3"/>
  <c r="D128" i="3"/>
  <c r="E128" i="3"/>
  <c r="D127" i="3"/>
  <c r="E127" i="3"/>
  <c r="D126" i="3"/>
  <c r="E126" i="3"/>
  <c r="D125" i="3"/>
  <c r="E125" i="3"/>
  <c r="D124" i="3"/>
  <c r="E124" i="3"/>
  <c r="D123" i="3"/>
  <c r="E123" i="3"/>
  <c r="D122" i="3"/>
  <c r="E122" i="3"/>
  <c r="D121" i="3"/>
  <c r="E121" i="3"/>
  <c r="D120" i="3"/>
  <c r="E120" i="3"/>
  <c r="D119" i="3"/>
  <c r="E119" i="3"/>
  <c r="D118" i="3"/>
  <c r="E118" i="3"/>
  <c r="D117" i="3"/>
  <c r="E117" i="3"/>
  <c r="D116" i="3"/>
  <c r="E116" i="3"/>
  <c r="D115" i="3"/>
  <c r="E115" i="3"/>
  <c r="D114" i="3"/>
  <c r="E114" i="3"/>
  <c r="D113" i="3"/>
  <c r="E113" i="3"/>
  <c r="D112" i="3"/>
  <c r="E112" i="3"/>
  <c r="D111" i="3"/>
  <c r="E111" i="3"/>
  <c r="D110" i="3"/>
  <c r="E110" i="3"/>
  <c r="D109" i="3"/>
  <c r="E109" i="3"/>
  <c r="D108" i="3"/>
  <c r="E108" i="3"/>
  <c r="D107" i="3"/>
  <c r="E107" i="3"/>
  <c r="D106" i="3"/>
  <c r="R4" i="3" l="1"/>
  <c r="W2" i="9"/>
  <c r="N107" i="3"/>
  <c r="N108" i="3"/>
  <c r="N109" i="3"/>
  <c r="N110" i="3"/>
  <c r="N111" i="3"/>
  <c r="N112" i="3"/>
  <c r="N113" i="3"/>
  <c r="N114" i="3"/>
  <c r="N115" i="3"/>
  <c r="N116" i="3"/>
  <c r="N117" i="3"/>
  <c r="N118" i="3"/>
  <c r="N119" i="3"/>
  <c r="N120" i="3"/>
  <c r="N121" i="3"/>
  <c r="N122" i="3"/>
  <c r="N123" i="3"/>
  <c r="N124" i="3"/>
  <c r="N125" i="3"/>
  <c r="N126" i="3"/>
  <c r="N127" i="3"/>
  <c r="N128" i="3"/>
  <c r="N129" i="3"/>
  <c r="N130" i="3"/>
  <c r="N131" i="3"/>
  <c r="F122" i="3"/>
  <c r="G122" i="3" s="1"/>
  <c r="F114" i="3"/>
  <c r="G114" i="3" s="1"/>
  <c r="F110" i="3"/>
  <c r="G110" i="3" s="1"/>
  <c r="F118" i="3"/>
  <c r="G118" i="3" s="1"/>
  <c r="F108" i="3"/>
  <c r="G108" i="3" s="1"/>
  <c r="F112" i="3"/>
  <c r="G112" i="3" s="1"/>
  <c r="F116" i="3"/>
  <c r="G116" i="3" s="1"/>
  <c r="F120" i="3"/>
  <c r="G120" i="3" s="1"/>
  <c r="F107" i="3"/>
  <c r="G107" i="3" s="1"/>
  <c r="F109" i="3"/>
  <c r="G109" i="3" s="1"/>
  <c r="F111" i="3"/>
  <c r="G111" i="3" s="1"/>
  <c r="F113" i="3"/>
  <c r="G113" i="3" s="1"/>
  <c r="F115" i="3"/>
  <c r="G115" i="3" s="1"/>
  <c r="F117" i="3"/>
  <c r="G117" i="3" s="1"/>
  <c r="F119" i="3"/>
  <c r="G119" i="3" s="1"/>
  <c r="F121" i="3"/>
  <c r="G121" i="3" s="1"/>
  <c r="F123" i="3"/>
  <c r="G123" i="3" s="1"/>
  <c r="F124" i="3"/>
  <c r="G124" i="3" s="1"/>
  <c r="F125" i="3"/>
  <c r="G125" i="3" s="1"/>
  <c r="F126" i="3"/>
  <c r="G126" i="3" s="1"/>
  <c r="F127" i="3"/>
  <c r="G127" i="3" s="1"/>
  <c r="F128" i="3"/>
  <c r="G128" i="3" s="1"/>
  <c r="F129" i="3"/>
  <c r="G129" i="3" s="1"/>
  <c r="F130" i="3"/>
  <c r="G130" i="3" s="1"/>
  <c r="F131" i="3"/>
  <c r="G131" i="3" s="1"/>
  <c r="F132" i="3"/>
  <c r="G132" i="3" s="1"/>
  <c r="M132" i="3"/>
  <c r="N133"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N132" i="3"/>
  <c r="F133" i="3"/>
  <c r="G133" i="3" s="1"/>
  <c r="M133" i="3"/>
  <c r="E106" i="3"/>
  <c r="D105" i="3"/>
  <c r="E105" i="3"/>
  <c r="D104" i="3"/>
  <c r="E104" i="3"/>
  <c r="D103" i="3"/>
  <c r="E103" i="3"/>
  <c r="D102" i="3"/>
  <c r="E102" i="3"/>
  <c r="D101" i="3"/>
  <c r="E101" i="3"/>
  <c r="D100" i="3"/>
  <c r="E100" i="3"/>
  <c r="D99" i="3"/>
  <c r="N101" i="3" l="1"/>
  <c r="N103" i="3"/>
  <c r="N106" i="3"/>
  <c r="N100" i="3"/>
  <c r="N102" i="3"/>
  <c r="N104" i="3"/>
  <c r="N105" i="3"/>
  <c r="F105" i="3"/>
  <c r="G105" i="3" s="1"/>
  <c r="F101" i="3"/>
  <c r="G101" i="3" s="1"/>
  <c r="F103" i="3"/>
  <c r="G103" i="3" s="1"/>
  <c r="F100" i="3"/>
  <c r="G100" i="3" s="1"/>
  <c r="F102" i="3"/>
  <c r="G102" i="3" s="1"/>
  <c r="F104" i="3"/>
  <c r="G104" i="3" s="1"/>
  <c r="F106" i="3"/>
  <c r="G106" i="3" s="1"/>
  <c r="M100" i="3"/>
  <c r="M101" i="3"/>
  <c r="M102" i="3"/>
  <c r="M103" i="3"/>
  <c r="M104" i="3"/>
  <c r="M105" i="3"/>
  <c r="M106" i="3"/>
  <c r="E99" i="3"/>
  <c r="D98" i="3"/>
  <c r="E98" i="3"/>
  <c r="D97" i="3"/>
  <c r="M98" i="3" l="1"/>
  <c r="M99" i="3"/>
  <c r="F98" i="3"/>
  <c r="G98" i="3" s="1"/>
  <c r="F99" i="3"/>
  <c r="G99" i="3" s="1"/>
  <c r="E97" i="3"/>
  <c r="D96" i="3"/>
  <c r="E96" i="3"/>
  <c r="D95" i="3"/>
  <c r="E95" i="3"/>
  <c r="D94" i="3"/>
  <c r="E94" i="3"/>
  <c r="D93" i="3"/>
  <c r="E93" i="3"/>
  <c r="D92" i="3"/>
  <c r="E92" i="3"/>
  <c r="D91" i="3"/>
  <c r="E91" i="3"/>
  <c r="D90" i="3"/>
  <c r="E90" i="3"/>
  <c r="D89" i="3"/>
  <c r="E89" i="3"/>
  <c r="D88" i="3"/>
  <c r="E88" i="3"/>
  <c r="D87" i="3"/>
  <c r="E87" i="3"/>
  <c r="D86" i="3"/>
  <c r="E86" i="3"/>
  <c r="D85" i="3"/>
  <c r="E85" i="3"/>
  <c r="D84" i="3"/>
  <c r="E84" i="3"/>
  <c r="D83" i="3"/>
  <c r="E83" i="3"/>
  <c r="D82" i="3"/>
  <c r="E82" i="3"/>
  <c r="D81" i="3"/>
  <c r="E81" i="3"/>
  <c r="D80" i="3"/>
  <c r="E80" i="3"/>
  <c r="D79" i="3"/>
  <c r="E79" i="3"/>
  <c r="D78" i="3"/>
  <c r="E78" i="3"/>
  <c r="D77" i="3"/>
  <c r="E77" i="3"/>
  <c r="D76" i="3"/>
  <c r="E76" i="3"/>
  <c r="D75" i="3"/>
  <c r="E75" i="3"/>
  <c r="D74" i="3"/>
  <c r="E74" i="3"/>
  <c r="D73" i="3"/>
  <c r="E73" i="3"/>
  <c r="D72" i="3"/>
  <c r="E72" i="3"/>
  <c r="D71" i="3"/>
  <c r="E71" i="3"/>
  <c r="D70" i="3"/>
  <c r="E70" i="3"/>
  <c r="D69" i="3"/>
  <c r="E69" i="3"/>
  <c r="D68" i="3"/>
  <c r="E68" i="3"/>
  <c r="D67" i="3"/>
  <c r="E67" i="3"/>
  <c r="D66" i="3"/>
  <c r="E66" i="3"/>
  <c r="D65" i="3"/>
  <c r="E65" i="3"/>
  <c r="D64" i="3"/>
  <c r="E64" i="3"/>
  <c r="D63" i="3"/>
  <c r="E63" i="3"/>
  <c r="D62" i="3"/>
  <c r="E62" i="3"/>
  <c r="D61" i="3"/>
  <c r="E61" i="3"/>
  <c r="D60" i="3"/>
  <c r="E60" i="3"/>
  <c r="D59" i="3"/>
  <c r="E59" i="3"/>
  <c r="D58" i="3"/>
  <c r="E58" i="3"/>
  <c r="D57" i="3"/>
  <c r="E57" i="3"/>
  <c r="D56" i="3"/>
  <c r="E56" i="3"/>
  <c r="D55" i="3"/>
  <c r="E55" i="3"/>
  <c r="D54" i="3"/>
  <c r="E54" i="3"/>
  <c r="D53" i="3"/>
  <c r="E53" i="3"/>
  <c r="D52" i="3"/>
  <c r="E52" i="3"/>
  <c r="D51" i="3"/>
  <c r="E51" i="3"/>
  <c r="D50" i="3"/>
  <c r="E50" i="3"/>
  <c r="D49" i="3"/>
  <c r="E49" i="3"/>
  <c r="D48" i="3"/>
  <c r="E48" i="3"/>
  <c r="D47" i="3"/>
  <c r="E47" i="3"/>
  <c r="D46" i="3"/>
  <c r="E46" i="3"/>
  <c r="D45" i="3"/>
  <c r="F89" i="3" l="1"/>
  <c r="G89" i="3" s="1"/>
  <c r="N90" i="3"/>
  <c r="N91" i="3"/>
  <c r="N92" i="3"/>
  <c r="N93" i="3"/>
  <c r="F97" i="3"/>
  <c r="G97" i="3" s="1"/>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F73" i="3"/>
  <c r="G73" i="3" s="1"/>
  <c r="F57" i="3"/>
  <c r="G57" i="3" s="1"/>
  <c r="F81" i="3"/>
  <c r="G81" i="3" s="1"/>
  <c r="F49" i="3"/>
  <c r="G49" i="3" s="1"/>
  <c r="F65" i="3"/>
  <c r="G65" i="3" s="1"/>
  <c r="F53" i="3"/>
  <c r="G53" i="3" s="1"/>
  <c r="F61" i="3"/>
  <c r="G61" i="3" s="1"/>
  <c r="F69" i="3"/>
  <c r="G69" i="3" s="1"/>
  <c r="F77" i="3"/>
  <c r="G77" i="3" s="1"/>
  <c r="F85" i="3"/>
  <c r="G85" i="3" s="1"/>
  <c r="F93" i="3"/>
  <c r="G93" i="3" s="1"/>
  <c r="F47" i="3"/>
  <c r="G47" i="3" s="1"/>
  <c r="F51" i="3"/>
  <c r="G51" i="3" s="1"/>
  <c r="F55" i="3"/>
  <c r="G55" i="3" s="1"/>
  <c r="F59" i="3"/>
  <c r="G59" i="3" s="1"/>
  <c r="F63" i="3"/>
  <c r="G63" i="3" s="1"/>
  <c r="F67" i="3"/>
  <c r="G67" i="3" s="1"/>
  <c r="F71" i="3"/>
  <c r="G71" i="3" s="1"/>
  <c r="F75" i="3"/>
  <c r="G75" i="3" s="1"/>
  <c r="F79" i="3"/>
  <c r="G79" i="3" s="1"/>
  <c r="F83" i="3"/>
  <c r="G83" i="3" s="1"/>
  <c r="F87" i="3"/>
  <c r="G87" i="3" s="1"/>
  <c r="F91" i="3"/>
  <c r="G91" i="3" s="1"/>
  <c r="F95" i="3"/>
  <c r="G95" i="3" s="1"/>
  <c r="F46" i="3"/>
  <c r="G46" i="3" s="1"/>
  <c r="F48" i="3"/>
  <c r="G48" i="3" s="1"/>
  <c r="F50" i="3"/>
  <c r="G50" i="3" s="1"/>
  <c r="F52" i="3"/>
  <c r="G52" i="3" s="1"/>
  <c r="F54" i="3"/>
  <c r="G54" i="3" s="1"/>
  <c r="F56" i="3"/>
  <c r="G56" i="3" s="1"/>
  <c r="F58" i="3"/>
  <c r="G58" i="3" s="1"/>
  <c r="F60" i="3"/>
  <c r="G60" i="3" s="1"/>
  <c r="F62" i="3"/>
  <c r="G62" i="3" s="1"/>
  <c r="F64" i="3"/>
  <c r="G64" i="3" s="1"/>
  <c r="F66" i="3"/>
  <c r="G66" i="3" s="1"/>
  <c r="F68" i="3"/>
  <c r="G68" i="3" s="1"/>
  <c r="F70" i="3"/>
  <c r="G70" i="3" s="1"/>
  <c r="F72" i="3"/>
  <c r="G72" i="3" s="1"/>
  <c r="F74" i="3"/>
  <c r="G74" i="3" s="1"/>
  <c r="F76" i="3"/>
  <c r="G76" i="3" s="1"/>
  <c r="F78" i="3"/>
  <c r="G78" i="3" s="1"/>
  <c r="F80" i="3"/>
  <c r="G80" i="3" s="1"/>
  <c r="F82" i="3"/>
  <c r="G82" i="3" s="1"/>
  <c r="F84" i="3"/>
  <c r="G84" i="3" s="1"/>
  <c r="F86" i="3"/>
  <c r="G86" i="3" s="1"/>
  <c r="F88" i="3"/>
  <c r="G88" i="3" s="1"/>
  <c r="F90" i="3"/>
  <c r="G90" i="3" s="1"/>
  <c r="F92" i="3"/>
  <c r="G92" i="3" s="1"/>
  <c r="F94" i="3"/>
  <c r="G94" i="3" s="1"/>
  <c r="F96" i="3"/>
  <c r="G96" i="3" s="1"/>
  <c r="M97"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E45" i="3"/>
  <c r="D44" i="3"/>
  <c r="E44" i="3"/>
  <c r="D43" i="3"/>
  <c r="E43" i="3"/>
  <c r="D42" i="3"/>
  <c r="E42" i="3"/>
  <c r="D41" i="3"/>
  <c r="E41" i="3"/>
  <c r="D40" i="3"/>
  <c r="E40" i="3"/>
  <c r="D39" i="3"/>
  <c r="E39" i="3"/>
  <c r="D38" i="3"/>
  <c r="E38" i="3"/>
  <c r="D37" i="3"/>
  <c r="E37" i="3"/>
  <c r="D36" i="3"/>
  <c r="E36" i="3"/>
  <c r="D35" i="3"/>
  <c r="E35" i="3"/>
  <c r="D34" i="3"/>
  <c r="F36" i="3" l="1"/>
  <c r="G36" i="3" s="1"/>
  <c r="F38" i="3"/>
  <c r="G38" i="3" s="1"/>
  <c r="F40" i="3"/>
  <c r="G40" i="3" s="1"/>
  <c r="F42" i="3"/>
  <c r="G42" i="3" s="1"/>
  <c r="F35" i="3"/>
  <c r="G35" i="3" s="1"/>
  <c r="F37" i="3"/>
  <c r="G37" i="3" s="1"/>
  <c r="F39" i="3"/>
  <c r="G39" i="3" s="1"/>
  <c r="F41" i="3"/>
  <c r="G41" i="3" s="1"/>
  <c r="F43" i="3"/>
  <c r="G43" i="3" s="1"/>
  <c r="F44" i="3"/>
  <c r="G44" i="3" s="1"/>
  <c r="F45" i="3"/>
  <c r="G45" i="3" s="1"/>
  <c r="N35" i="3"/>
  <c r="N36" i="3"/>
  <c r="N37" i="3"/>
  <c r="N38" i="3"/>
  <c r="N39" i="3"/>
  <c r="N40" i="3"/>
  <c r="N41" i="3"/>
  <c r="N42" i="3"/>
  <c r="N43" i="3"/>
  <c r="N44" i="3"/>
  <c r="M45" i="3"/>
  <c r="N45" i="3"/>
  <c r="M35" i="3"/>
  <c r="M36" i="3"/>
  <c r="M37" i="3"/>
  <c r="M38" i="3"/>
  <c r="M39" i="3"/>
  <c r="M40" i="3"/>
  <c r="M41" i="3"/>
  <c r="M42" i="3"/>
  <c r="M43" i="3"/>
  <c r="M44" i="3"/>
  <c r="E34" i="3"/>
  <c r="D33" i="3"/>
  <c r="E33" i="3"/>
  <c r="D32" i="3"/>
  <c r="E32" i="3"/>
  <c r="D31" i="3"/>
  <c r="E31" i="3"/>
  <c r="D30" i="3"/>
  <c r="E30" i="3"/>
  <c r="D29" i="3"/>
  <c r="E29" i="3"/>
  <c r="D28" i="3"/>
  <c r="E28" i="3"/>
  <c r="D27" i="3"/>
  <c r="E27" i="3"/>
  <c r="D26" i="3"/>
  <c r="E26" i="3"/>
  <c r="D25" i="3"/>
  <c r="E25" i="3"/>
  <c r="D24" i="3"/>
  <c r="E24" i="3"/>
  <c r="D23" i="3"/>
  <c r="E23" i="3"/>
  <c r="D22" i="3"/>
  <c r="E22" i="3"/>
  <c r="D21" i="3"/>
  <c r="E21" i="3"/>
  <c r="D20" i="3"/>
  <c r="E20" i="3"/>
  <c r="D19" i="3"/>
  <c r="E19" i="3"/>
  <c r="D18" i="3"/>
  <c r="E18" i="3"/>
  <c r="E17" i="3"/>
  <c r="D16" i="3"/>
  <c r="E16" i="3"/>
  <c r="D15" i="3"/>
  <c r="E15" i="3"/>
  <c r="D14" i="3"/>
  <c r="E14" i="3"/>
  <c r="D13" i="3"/>
  <c r="E13" i="3"/>
  <c r="D12" i="3"/>
  <c r="E12" i="3"/>
  <c r="D11" i="3"/>
  <c r="E11" i="3"/>
  <c r="D10" i="3"/>
  <c r="E10" i="3"/>
  <c r="M12" i="3" l="1"/>
  <c r="N17" i="3"/>
  <c r="N9" i="3"/>
  <c r="F6" i="3"/>
  <c r="N12" i="3"/>
  <c r="N15" i="3"/>
  <c r="N11" i="3"/>
  <c r="N13" i="3"/>
  <c r="N14" i="3"/>
  <c r="N16" i="3"/>
  <c r="N18" i="3"/>
  <c r="N19" i="3"/>
  <c r="N20" i="3"/>
  <c r="N21" i="3"/>
  <c r="N22" i="3"/>
  <c r="N23" i="3"/>
  <c r="N24" i="3"/>
  <c r="N25" i="3"/>
  <c r="N26" i="3"/>
  <c r="N27" i="3"/>
  <c r="N28" i="3"/>
  <c r="N29" i="3"/>
  <c r="N30" i="3"/>
  <c r="N31" i="3"/>
  <c r="N32" i="3"/>
  <c r="N33" i="3"/>
  <c r="F34" i="3"/>
  <c r="G34" i="3" s="1"/>
  <c r="F9" i="3"/>
  <c r="G9" i="3" s="1"/>
  <c r="F11" i="3"/>
  <c r="G11" i="3" s="1"/>
  <c r="F12" i="3"/>
  <c r="G12" i="3" s="1"/>
  <c r="F13" i="3"/>
  <c r="G13" i="3" s="1"/>
  <c r="F14" i="3"/>
  <c r="G14" i="3" s="1"/>
  <c r="F15" i="3"/>
  <c r="G15" i="3" s="1"/>
  <c r="F16" i="3"/>
  <c r="G16" i="3" s="1"/>
  <c r="F17" i="3"/>
  <c r="G17" i="3" s="1"/>
  <c r="F18" i="3"/>
  <c r="G18" i="3" s="1"/>
  <c r="F19" i="3"/>
  <c r="G19" i="3" s="1"/>
  <c r="F20" i="3"/>
  <c r="G20" i="3" s="1"/>
  <c r="F21" i="3"/>
  <c r="G21" i="3" s="1"/>
  <c r="F22" i="3"/>
  <c r="G22" i="3" s="1"/>
  <c r="F23" i="3"/>
  <c r="G23" i="3" s="1"/>
  <c r="F24" i="3"/>
  <c r="G24" i="3" s="1"/>
  <c r="F25" i="3"/>
  <c r="G25" i="3" s="1"/>
  <c r="F26" i="3"/>
  <c r="G26" i="3" s="1"/>
  <c r="F27" i="3"/>
  <c r="G27" i="3" s="1"/>
  <c r="F28" i="3"/>
  <c r="G28" i="3" s="1"/>
  <c r="F29" i="3"/>
  <c r="G29" i="3" s="1"/>
  <c r="F30" i="3"/>
  <c r="G30" i="3" s="1"/>
  <c r="F31" i="3"/>
  <c r="G31" i="3" s="1"/>
  <c r="F32" i="3"/>
  <c r="G32" i="3" s="1"/>
  <c r="F33" i="3"/>
  <c r="G33" i="3" s="1"/>
  <c r="M9" i="3"/>
  <c r="M34" i="3"/>
  <c r="N34" i="3"/>
  <c r="N10" i="3"/>
  <c r="F10" i="3"/>
  <c r="G10" i="3" s="1"/>
  <c r="M10" i="3"/>
  <c r="M11" i="3"/>
  <c r="M13" i="3"/>
  <c r="M14" i="3"/>
  <c r="M15" i="3"/>
  <c r="M16" i="3"/>
  <c r="M17" i="3"/>
  <c r="M18" i="3"/>
  <c r="M19" i="3"/>
  <c r="M20" i="3"/>
  <c r="M21" i="3"/>
  <c r="M22" i="3"/>
  <c r="M23" i="3"/>
  <c r="M24" i="3"/>
  <c r="M25" i="3"/>
  <c r="M26" i="3"/>
  <c r="M27" i="3"/>
  <c r="M28" i="3"/>
  <c r="M29" i="3"/>
  <c r="M30" i="3"/>
  <c r="M31" i="3"/>
  <c r="M32" i="3"/>
  <c r="M33" i="3"/>
  <c r="R3" i="3" l="1"/>
  <c r="H6" i="3"/>
  <c r="O2" i="9" l="1"/>
  <c r="V134" i="3"/>
  <c r="D6" i="3"/>
  <c r="W134" i="3" l="1"/>
  <c r="D21" i="17"/>
  <c r="E2" i="9"/>
  <c r="A6" i="3"/>
  <c r="J2" i="3"/>
  <c r="J9" i="8"/>
  <c r="H78" i="3"/>
  <c r="H57" i="3"/>
  <c r="H37" i="3"/>
  <c r="H82" i="3"/>
  <c r="H30" i="3"/>
  <c r="H89" i="3"/>
  <c r="B6" i="3"/>
  <c r="H53" i="3"/>
  <c r="H100" i="3"/>
  <c r="H88" i="3"/>
  <c r="H29" i="3"/>
  <c r="H12" i="3"/>
  <c r="H113" i="3"/>
  <c r="H74" i="3"/>
  <c r="H26" i="3"/>
  <c r="H86" i="3"/>
  <c r="H96" i="3"/>
  <c r="H38" i="3"/>
  <c r="H85" i="3"/>
  <c r="H104" i="3"/>
  <c r="H90" i="3"/>
  <c r="H70" i="3"/>
  <c r="H55" i="3"/>
  <c r="H44" i="3"/>
  <c r="H127" i="3"/>
  <c r="H47" i="3"/>
  <c r="H31" i="3"/>
  <c r="H21" i="3"/>
  <c r="H51" i="3"/>
  <c r="H120" i="3"/>
  <c r="H128" i="3"/>
  <c r="H110" i="3"/>
  <c r="H54" i="3"/>
  <c r="H71" i="3"/>
  <c r="H109" i="3"/>
  <c r="H33" i="3"/>
  <c r="H65" i="3"/>
  <c r="H66" i="3"/>
  <c r="H45" i="3"/>
  <c r="H46" i="3"/>
  <c r="H99" i="3"/>
  <c r="H9" i="3"/>
  <c r="H14" i="3"/>
  <c r="H22" i="3"/>
  <c r="H48" i="3"/>
  <c r="B8" i="19" l="1"/>
  <c r="D10" i="17"/>
  <c r="M2" i="9"/>
  <c r="C6" i="3"/>
  <c r="N2" i="9" l="1"/>
  <c r="C8" i="19"/>
  <c r="N94" i="3"/>
  <c r="N96" i="3"/>
  <c r="N99" i="3"/>
  <c r="N98" i="3"/>
  <c r="N95" i="3"/>
  <c r="N97" i="3" l="1"/>
  <c r="M6" i="3" s="1"/>
  <c r="C9" i="8"/>
  <c r="B9" i="8"/>
  <c r="H9" i="8" l="1"/>
  <c r="J6" i="8" l="1"/>
  <c r="I6" i="8"/>
  <c r="V28" i="3"/>
  <c r="V14" i="3"/>
  <c r="V75" i="3"/>
  <c r="V125" i="3"/>
  <c r="V86" i="3"/>
  <c r="V72" i="3"/>
  <c r="V110" i="3"/>
  <c r="V121" i="3"/>
  <c r="V22" i="3"/>
  <c r="V100" i="3"/>
  <c r="V32" i="3"/>
  <c r="V74" i="3"/>
  <c r="V55" i="3"/>
  <c r="V89" i="3"/>
  <c r="V16" i="3"/>
  <c r="V47" i="3"/>
  <c r="V51" i="3"/>
  <c r="V122" i="3"/>
  <c r="V104" i="3"/>
  <c r="V96" i="3"/>
  <c r="V31" i="3"/>
  <c r="V34" i="3"/>
  <c r="V68" i="3"/>
  <c r="V10" i="3"/>
  <c r="V69" i="3"/>
  <c r="V58" i="3"/>
  <c r="V88" i="3"/>
  <c r="V48" i="3"/>
  <c r="V38" i="3"/>
  <c r="V109" i="3"/>
  <c r="V81" i="3"/>
  <c r="V92" i="3"/>
  <c r="V82" i="3"/>
  <c r="V54" i="3"/>
  <c r="V61" i="3"/>
  <c r="V12" i="3"/>
  <c r="V46" i="3"/>
  <c r="V93" i="3"/>
  <c r="V30" i="3"/>
  <c r="V57" i="3"/>
  <c r="V11" i="3"/>
  <c r="V90" i="3"/>
  <c r="V70" i="3"/>
  <c r="V123" i="3"/>
  <c r="V9" i="3"/>
  <c r="V26" i="3"/>
  <c r="V127" i="3"/>
  <c r="V85" i="3"/>
  <c r="V87" i="3"/>
  <c r="V40" i="3"/>
  <c r="V120" i="3"/>
  <c r="V37" i="3"/>
  <c r="V42" i="3"/>
  <c r="V20" i="3"/>
  <c r="V56" i="3"/>
  <c r="V130" i="3"/>
  <c r="V62" i="3"/>
  <c r="V41" i="3"/>
  <c r="V114" i="3"/>
  <c r="V113" i="3"/>
  <c r="V71" i="3"/>
  <c r="V78" i="3"/>
  <c r="V29" i="3"/>
  <c r="V45" i="3"/>
  <c r="V128" i="3"/>
  <c r="V67" i="3"/>
  <c r="V112" i="3"/>
  <c r="V116" i="3"/>
  <c r="V95" i="3"/>
  <c r="V27" i="3"/>
  <c r="V91" i="3"/>
  <c r="V25" i="3"/>
  <c r="V44" i="3"/>
  <c r="V99" i="3"/>
  <c r="V53" i="3"/>
  <c r="V65" i="3"/>
  <c r="V33" i="3"/>
  <c r="V101" i="3"/>
  <c r="V66" i="3"/>
  <c r="V21" i="3"/>
  <c r="V107" i="3"/>
  <c r="V115" i="3"/>
  <c r="V94" i="3"/>
  <c r="W9" i="3" l="1"/>
  <c r="W11" i="3"/>
  <c r="W10" i="3"/>
  <c r="V18" i="3"/>
  <c r="V102" i="3"/>
  <c r="V59" i="3"/>
  <c r="V49" i="3"/>
  <c r="V50" i="3"/>
  <c r="V19" i="3"/>
  <c r="V63" i="3"/>
  <c r="V13" i="3"/>
  <c r="V60" i="3"/>
  <c r="V76" i="3"/>
  <c r="V97" i="3"/>
  <c r="V118" i="3"/>
  <c r="V77" i="3"/>
  <c r="V111" i="3"/>
  <c r="V132" i="3"/>
  <c r="V129" i="3"/>
  <c r="V80" i="3"/>
  <c r="V15" i="3"/>
  <c r="V35" i="3"/>
  <c r="V24" i="3"/>
  <c r="V124" i="3"/>
  <c r="V83" i="3"/>
  <c r="V36" i="3"/>
  <c r="V23" i="3"/>
  <c r="V79" i="3"/>
  <c r="V17" i="3"/>
  <c r="V39" i="3"/>
  <c r="V108" i="3"/>
  <c r="V98" i="3"/>
  <c r="V117" i="3"/>
  <c r="V105" i="3"/>
  <c r="V73" i="3"/>
  <c r="V119" i="3"/>
  <c r="V103" i="3"/>
  <c r="V106" i="3"/>
  <c r="V52" i="3"/>
  <c r="V126" i="3"/>
  <c r="V43" i="3"/>
  <c r="V64" i="3"/>
  <c r="V131" i="3"/>
  <c r="V84" i="3"/>
  <c r="V133" i="3"/>
  <c r="E10" i="13" l="1"/>
  <c r="E4" i="13"/>
  <c r="H4" i="13" l="1"/>
  <c r="AB15" i="3" l="1"/>
  <c r="AB13" i="3"/>
  <c r="AB14" i="3"/>
  <c r="W12" i="3" l="1"/>
  <c r="AB12" i="3" l="1"/>
  <c r="AH6" i="3" s="1"/>
  <c r="J4" i="3" s="1"/>
  <c r="R1" i="3" s="1"/>
  <c r="H126" i="3"/>
  <c r="I120" i="3"/>
  <c r="I26" i="3"/>
  <c r="I44" i="3"/>
  <c r="H130" i="3"/>
  <c r="H39" i="3"/>
  <c r="H63" i="3"/>
  <c r="H75" i="3"/>
  <c r="I14" i="3"/>
  <c r="H95" i="3"/>
  <c r="H42" i="3"/>
  <c r="I51" i="3"/>
  <c r="H81" i="3"/>
  <c r="H111" i="3"/>
  <c r="H67" i="3"/>
  <c r="I30" i="3"/>
  <c r="H25" i="3"/>
  <c r="H124" i="3"/>
  <c r="I127" i="3"/>
  <c r="I57" i="3"/>
  <c r="I45" i="3"/>
  <c r="H116" i="3"/>
  <c r="H62" i="3"/>
  <c r="I38" i="3"/>
  <c r="I37" i="3"/>
  <c r="H103" i="3"/>
  <c r="I89" i="3"/>
  <c r="H80" i="3"/>
  <c r="H35" i="3"/>
  <c r="H107" i="3"/>
  <c r="H28" i="3"/>
  <c r="H50" i="3"/>
  <c r="H83" i="3"/>
  <c r="H92" i="3"/>
  <c r="I55" i="3"/>
  <c r="I9" i="3"/>
  <c r="I86" i="3"/>
  <c r="H64" i="3"/>
  <c r="H11" i="3"/>
  <c r="H108" i="3"/>
  <c r="I48" i="3"/>
  <c r="H23" i="3"/>
  <c r="I71" i="3"/>
  <c r="I113" i="3"/>
  <c r="H59" i="3"/>
  <c r="I78" i="3"/>
  <c r="I12" i="3"/>
  <c r="H32" i="3"/>
  <c r="H36" i="3"/>
  <c r="I46" i="3"/>
  <c r="I70" i="3"/>
  <c r="H101" i="3"/>
  <c r="H79" i="3"/>
  <c r="H61" i="3"/>
  <c r="H16" i="3"/>
  <c r="H105" i="3"/>
  <c r="H72" i="3"/>
  <c r="H19" i="3"/>
  <c r="I110" i="3"/>
  <c r="H129" i="3"/>
  <c r="H112" i="3"/>
  <c r="H24" i="3"/>
  <c r="H15" i="3"/>
  <c r="I33" i="3"/>
  <c r="H68" i="3"/>
  <c r="H125" i="3"/>
  <c r="H118" i="3"/>
  <c r="I65" i="3"/>
  <c r="H58" i="3"/>
  <c r="I82" i="3"/>
  <c r="H27" i="3"/>
  <c r="H41" i="3"/>
  <c r="I99" i="3"/>
  <c r="I21" i="3"/>
  <c r="H102" i="3"/>
  <c r="H40" i="3"/>
  <c r="H60" i="3"/>
  <c r="H114" i="3"/>
  <c r="H73" i="3"/>
  <c r="I31" i="3"/>
  <c r="C25" i="14"/>
  <c r="H10" i="3"/>
  <c r="H93" i="3"/>
  <c r="H117" i="3"/>
  <c r="I100" i="3"/>
  <c r="H49" i="3"/>
  <c r="I29" i="3"/>
  <c r="H132" i="3"/>
  <c r="I88" i="3"/>
  <c r="H34" i="3"/>
  <c r="H69" i="3"/>
  <c r="I74" i="3"/>
  <c r="H121" i="3"/>
  <c r="I128" i="3"/>
  <c r="H87" i="3"/>
  <c r="I96" i="3"/>
  <c r="H106" i="3"/>
  <c r="H56" i="3"/>
  <c r="I22" i="3"/>
  <c r="H94" i="3"/>
  <c r="H122" i="3"/>
  <c r="H18" i="3"/>
  <c r="I90" i="3"/>
  <c r="I104" i="3"/>
  <c r="H84" i="3"/>
  <c r="I54" i="3"/>
  <c r="H20" i="3"/>
  <c r="H98" i="3"/>
  <c r="H43" i="3"/>
  <c r="H76" i="3"/>
  <c r="H119" i="3"/>
  <c r="I47" i="3"/>
  <c r="H115" i="3"/>
  <c r="H17" i="3"/>
  <c r="H123" i="3"/>
  <c r="H97" i="3"/>
  <c r="I53" i="3"/>
  <c r="H52" i="3"/>
  <c r="I66" i="3"/>
  <c r="H77" i="3"/>
  <c r="I85" i="3"/>
  <c r="H13" i="3"/>
  <c r="H91" i="3"/>
  <c r="H131" i="3"/>
  <c r="H133" i="3"/>
  <c r="I109" i="3"/>
  <c r="D93" i="15" l="1"/>
  <c r="K100" i="3"/>
  <c r="K54" i="3"/>
  <c r="D47" i="15"/>
  <c r="D79" i="15"/>
  <c r="K86" i="3"/>
  <c r="D24" i="15"/>
  <c r="K31" i="3"/>
  <c r="K22" i="3"/>
  <c r="D15" i="15"/>
  <c r="K21" i="3"/>
  <c r="D14" i="15"/>
  <c r="D19" i="15"/>
  <c r="K26" i="3"/>
  <c r="J10" i="8"/>
  <c r="K65" i="3"/>
  <c r="D58" i="15"/>
  <c r="D5" i="15"/>
  <c r="K12" i="3"/>
  <c r="K37" i="3"/>
  <c r="D30" i="15"/>
  <c r="D102" i="15"/>
  <c r="K109" i="3"/>
  <c r="D39" i="15"/>
  <c r="K46" i="3"/>
  <c r="K96" i="3"/>
  <c r="D89" i="15"/>
  <c r="D82" i="15"/>
  <c r="K89" i="3"/>
  <c r="D38" i="15"/>
  <c r="K45" i="3"/>
  <c r="D78" i="15"/>
  <c r="K85" i="3"/>
  <c r="D83" i="15"/>
  <c r="K90" i="3"/>
  <c r="K53" i="3"/>
  <c r="D46" i="15"/>
  <c r="K30" i="3"/>
  <c r="D23" i="15"/>
  <c r="D121" i="15"/>
  <c r="K128" i="3"/>
  <c r="K82" i="3"/>
  <c r="D75" i="15"/>
  <c r="D2" i="15"/>
  <c r="K9" i="3"/>
  <c r="K99" i="3"/>
  <c r="D92" i="15"/>
  <c r="K66" i="3"/>
  <c r="D59" i="15"/>
  <c r="D22" i="15"/>
  <c r="K29" i="3"/>
  <c r="K14" i="3"/>
  <c r="D7" i="15"/>
  <c r="D97" i="15"/>
  <c r="K104" i="3"/>
  <c r="K70" i="3"/>
  <c r="D63" i="15"/>
  <c r="D40" i="15"/>
  <c r="K47" i="3"/>
  <c r="D50" i="15"/>
  <c r="K57" i="3"/>
  <c r="K44" i="3"/>
  <c r="D37" i="15"/>
  <c r="K113" i="3"/>
  <c r="D106" i="15"/>
  <c r="D64" i="15"/>
  <c r="K71" i="3"/>
  <c r="D48" i="15"/>
  <c r="K55" i="3"/>
  <c r="D31" i="15"/>
  <c r="K38" i="3"/>
  <c r="D26" i="15"/>
  <c r="K33" i="3"/>
  <c r="D81" i="15"/>
  <c r="K88" i="3"/>
  <c r="K48" i="3"/>
  <c r="D41" i="15"/>
  <c r="K110" i="3"/>
  <c r="D103" i="15"/>
  <c r="K78" i="3"/>
  <c r="D71" i="15"/>
  <c r="D44" i="15"/>
  <c r="K51" i="3"/>
  <c r="K127" i="3"/>
  <c r="D120" i="15"/>
  <c r="D113" i="15"/>
  <c r="K120" i="3"/>
  <c r="D67" i="15"/>
  <c r="K74" i="3"/>
  <c r="I11" i="3"/>
  <c r="I87" i="3"/>
  <c r="I131" i="3"/>
  <c r="I94" i="3"/>
  <c r="I111" i="3"/>
  <c r="I64" i="3"/>
  <c r="I17" i="3"/>
  <c r="I129" i="3"/>
  <c r="I36" i="3"/>
  <c r="I97" i="3"/>
  <c r="I77" i="3"/>
  <c r="I35" i="3"/>
  <c r="I101" i="3"/>
  <c r="I105" i="3"/>
  <c r="I56" i="3"/>
  <c r="I16" i="3"/>
  <c r="I40" i="3"/>
  <c r="I84" i="3"/>
  <c r="I114" i="3"/>
  <c r="I75" i="3"/>
  <c r="I72" i="3"/>
  <c r="I98" i="3"/>
  <c r="I79" i="3"/>
  <c r="I10" i="3"/>
  <c r="I81" i="3"/>
  <c r="I108" i="3"/>
  <c r="I83" i="3"/>
  <c r="I116" i="3"/>
  <c r="I123" i="3"/>
  <c r="I118" i="3"/>
  <c r="I34" i="3"/>
  <c r="I41" i="3"/>
  <c r="I32" i="3"/>
  <c r="I126" i="3"/>
  <c r="I13" i="3"/>
  <c r="I23" i="3"/>
  <c r="I61" i="3"/>
  <c r="I132" i="3"/>
  <c r="I80" i="3"/>
  <c r="I28" i="3"/>
  <c r="I69" i="3"/>
  <c r="I43" i="3"/>
  <c r="I49" i="3"/>
  <c r="I102" i="3"/>
  <c r="I103" i="3"/>
  <c r="I52" i="3"/>
  <c r="I91" i="3"/>
  <c r="I107" i="3"/>
  <c r="I68" i="3"/>
  <c r="I58" i="3"/>
  <c r="I112" i="3"/>
  <c r="I122" i="3"/>
  <c r="I62" i="3"/>
  <c r="I42" i="3"/>
  <c r="I39" i="3"/>
  <c r="I60" i="3"/>
  <c r="I121" i="3"/>
  <c r="I73" i="3"/>
  <c r="I59" i="3"/>
  <c r="I119" i="3"/>
  <c r="I117" i="3"/>
  <c r="I24" i="3"/>
  <c r="I18" i="3"/>
  <c r="I50" i="3"/>
  <c r="I67" i="3"/>
  <c r="I125" i="3"/>
  <c r="I93" i="3"/>
  <c r="I63" i="3"/>
  <c r="I92" i="3"/>
  <c r="I106" i="3"/>
  <c r="I15" i="3"/>
  <c r="I20" i="3"/>
  <c r="I76" i="3"/>
  <c r="I25" i="3"/>
  <c r="I95" i="3"/>
  <c r="I124" i="3"/>
  <c r="I27" i="3"/>
  <c r="I115" i="3"/>
  <c r="I133" i="3"/>
  <c r="I130" i="3"/>
  <c r="I19" i="3"/>
  <c r="K87" i="3" l="1"/>
  <c r="L87" i="3" s="1"/>
  <c r="D80" i="15"/>
  <c r="K25" i="3"/>
  <c r="D18" i="15"/>
  <c r="D112" i="15"/>
  <c r="K119" i="3"/>
  <c r="D8" i="15"/>
  <c r="K15" i="3"/>
  <c r="D101" i="15"/>
  <c r="K108" i="3"/>
  <c r="K32" i="3"/>
  <c r="L31" i="3" s="1"/>
  <c r="D25" i="15"/>
  <c r="D13" i="15"/>
  <c r="K20" i="3"/>
  <c r="K124" i="3"/>
  <c r="D117" i="15"/>
  <c r="D32" i="15"/>
  <c r="K39" i="3"/>
  <c r="K56" i="3"/>
  <c r="L55" i="3" s="1"/>
  <c r="D49" i="15"/>
  <c r="D87" i="15"/>
  <c r="K94" i="3"/>
  <c r="D21" i="15"/>
  <c r="K28" i="3"/>
  <c r="K84" i="3"/>
  <c r="L86" i="3" s="1"/>
  <c r="D77" i="15"/>
  <c r="D100" i="15"/>
  <c r="K107" i="3"/>
  <c r="K111" i="3"/>
  <c r="D104" i="15"/>
  <c r="K123" i="3"/>
  <c r="D116" i="15"/>
  <c r="D34" i="15"/>
  <c r="K41" i="3"/>
  <c r="D88" i="15"/>
  <c r="K95" i="3"/>
  <c r="D61" i="15"/>
  <c r="K68" i="3"/>
  <c r="K92" i="3"/>
  <c r="D85" i="15"/>
  <c r="K97" i="3"/>
  <c r="D90" i="15"/>
  <c r="K18" i="3"/>
  <c r="D11" i="15"/>
  <c r="K62" i="3"/>
  <c r="D55" i="15"/>
  <c r="K10" i="3"/>
  <c r="D3" i="15"/>
  <c r="D27" i="15"/>
  <c r="K34" i="3"/>
  <c r="K11" i="3"/>
  <c r="D4" i="15"/>
  <c r="D98" i="15"/>
  <c r="K105" i="3"/>
  <c r="D65" i="15"/>
  <c r="K72" i="3"/>
  <c r="D122" i="15"/>
  <c r="K129" i="3"/>
  <c r="K73" i="3"/>
  <c r="D66" i="15"/>
  <c r="K13" i="3"/>
  <c r="D6" i="15"/>
  <c r="D60" i="15"/>
  <c r="K67" i="3"/>
  <c r="D91" i="15"/>
  <c r="K98" i="3"/>
  <c r="K80" i="3"/>
  <c r="D73" i="15"/>
  <c r="D68" i="15"/>
  <c r="K75" i="3"/>
  <c r="K125" i="3"/>
  <c r="D118" i="15"/>
  <c r="D124" i="15"/>
  <c r="K131" i="3"/>
  <c r="L11" i="3"/>
  <c r="K81" i="3"/>
  <c r="D74" i="15"/>
  <c r="K101" i="3"/>
  <c r="D94" i="15"/>
  <c r="K59" i="3"/>
  <c r="D52" i="15"/>
  <c r="D10" i="15"/>
  <c r="K17" i="3"/>
  <c r="K42" i="3"/>
  <c r="D35" i="15"/>
  <c r="D36" i="15"/>
  <c r="K43" i="3"/>
  <c r="K40" i="3"/>
  <c r="D33" i="15"/>
  <c r="K50" i="3"/>
  <c r="D43" i="15"/>
  <c r="K35" i="3"/>
  <c r="D28" i="15"/>
  <c r="K133" i="3"/>
  <c r="D126" i="15"/>
  <c r="D42" i="15"/>
  <c r="K49" i="3"/>
  <c r="L40" i="3"/>
  <c r="D105" i="15"/>
  <c r="K112" i="3"/>
  <c r="K115" i="3"/>
  <c r="D108" i="15"/>
  <c r="D56" i="15"/>
  <c r="K63" i="3"/>
  <c r="K60" i="3"/>
  <c r="D53" i="15"/>
  <c r="D114" i="15"/>
  <c r="K121" i="3"/>
  <c r="D62" i="15"/>
  <c r="K69" i="3"/>
  <c r="L68" i="3" s="1"/>
  <c r="K102" i="3"/>
  <c r="D95" i="15"/>
  <c r="K122" i="3"/>
  <c r="D115" i="15"/>
  <c r="K52" i="3"/>
  <c r="D45" i="15"/>
  <c r="K77" i="3"/>
  <c r="D70" i="15"/>
  <c r="D16" i="15"/>
  <c r="K23" i="3"/>
  <c r="D69" i="15"/>
  <c r="K76" i="3"/>
  <c r="D123" i="15"/>
  <c r="K130" i="3"/>
  <c r="L129" i="3" s="1"/>
  <c r="K114" i="3"/>
  <c r="D107" i="15"/>
  <c r="D9" i="15"/>
  <c r="K16" i="3"/>
  <c r="L53" i="3"/>
  <c r="L70" i="3"/>
  <c r="D119" i="15"/>
  <c r="K126" i="3"/>
  <c r="L128" i="3" s="1"/>
  <c r="D57" i="15"/>
  <c r="K64" i="3"/>
  <c r="L66" i="3" s="1"/>
  <c r="D29" i="15"/>
  <c r="K36" i="3"/>
  <c r="L38" i="3" s="1"/>
  <c r="K93" i="3"/>
  <c r="D86" i="15"/>
  <c r="K91" i="3"/>
  <c r="D84" i="15"/>
  <c r="K24" i="3"/>
  <c r="D17" i="15"/>
  <c r="K116" i="3"/>
  <c r="D109" i="15"/>
  <c r="D12" i="15"/>
  <c r="K19" i="3"/>
  <c r="L21" i="3" s="1"/>
  <c r="J6" i="3"/>
  <c r="I6" i="3"/>
  <c r="F9" i="8" s="1"/>
  <c r="K103" i="3"/>
  <c r="D96" i="15"/>
  <c r="K83" i="3"/>
  <c r="L85" i="3" s="1"/>
  <c r="D76" i="15"/>
  <c r="K61" i="3"/>
  <c r="D54" i="15"/>
  <c r="K132" i="3"/>
  <c r="D125" i="15"/>
  <c r="K117" i="3"/>
  <c r="D110" i="15"/>
  <c r="K58" i="3"/>
  <c r="D51" i="15"/>
  <c r="D99" i="15"/>
  <c r="K106" i="3"/>
  <c r="L108" i="3" s="1"/>
  <c r="K27" i="3"/>
  <c r="D20" i="15"/>
  <c r="K79" i="3"/>
  <c r="D72" i="15"/>
  <c r="D111" i="15"/>
  <c r="K118" i="3"/>
  <c r="L46" i="3"/>
  <c r="L39" i="3"/>
  <c r="P70" i="3"/>
  <c r="P108" i="3"/>
  <c r="P11" i="3"/>
  <c r="P68" i="3"/>
  <c r="P46" i="3"/>
  <c r="P21" i="3"/>
  <c r="P31" i="3"/>
  <c r="P40" i="3"/>
  <c r="P85" i="3"/>
  <c r="P128" i="3"/>
  <c r="P66" i="3"/>
  <c r="P55" i="3"/>
  <c r="P86" i="3"/>
  <c r="P129" i="3"/>
  <c r="P53" i="3"/>
  <c r="P87" i="3"/>
  <c r="P38" i="3"/>
  <c r="P39" i="3"/>
  <c r="L88" i="3" l="1"/>
  <c r="L72" i="3"/>
  <c r="L12" i="3"/>
  <c r="L99" i="3"/>
  <c r="L109" i="3"/>
  <c r="L13" i="3"/>
  <c r="L14" i="3"/>
  <c r="L74" i="3"/>
  <c r="L111" i="3"/>
  <c r="L33" i="3"/>
  <c r="L32" i="3"/>
  <c r="L30" i="3"/>
  <c r="L20" i="3"/>
  <c r="L29" i="3"/>
  <c r="L97" i="3"/>
  <c r="L93" i="3"/>
  <c r="L95" i="3"/>
  <c r="L48" i="3"/>
  <c r="L96" i="3"/>
  <c r="L102" i="3"/>
  <c r="L71" i="3"/>
  <c r="L64" i="3"/>
  <c r="L83" i="3"/>
  <c r="L69" i="3"/>
  <c r="L73" i="3"/>
  <c r="L110" i="3"/>
  <c r="L67" i="3"/>
  <c r="L98" i="3"/>
  <c r="L65" i="3"/>
  <c r="L125" i="3"/>
  <c r="L107" i="3"/>
  <c r="L15" i="3"/>
  <c r="L81" i="3"/>
  <c r="L59" i="3"/>
  <c r="L130" i="3"/>
  <c r="L24" i="3"/>
  <c r="L76" i="3"/>
  <c r="L52" i="3"/>
  <c r="L122" i="3"/>
  <c r="L44" i="3"/>
  <c r="L106" i="3"/>
  <c r="L116" i="3"/>
  <c r="E4" i="15"/>
  <c r="L57" i="3"/>
  <c r="L82" i="3"/>
  <c r="L131" i="3"/>
  <c r="L90" i="3"/>
  <c r="L77" i="3"/>
  <c r="L84" i="3"/>
  <c r="L23" i="3"/>
  <c r="L91" i="3"/>
  <c r="L18" i="3"/>
  <c r="L80" i="3"/>
  <c r="L27" i="3"/>
  <c r="L37" i="3"/>
  <c r="L121" i="3"/>
  <c r="L54" i="3"/>
  <c r="L22" i="3"/>
  <c r="L94" i="3"/>
  <c r="L35" i="3"/>
  <c r="L43" i="3"/>
  <c r="L36" i="3"/>
  <c r="L42" i="3"/>
  <c r="L28" i="3"/>
  <c r="L89" i="3"/>
  <c r="L92" i="3"/>
  <c r="L45" i="3"/>
  <c r="L127" i="3"/>
  <c r="L34" i="3"/>
  <c r="L120" i="3"/>
  <c r="L78" i="3"/>
  <c r="L114" i="3"/>
  <c r="L79" i="3"/>
  <c r="L101" i="3"/>
  <c r="L62" i="3"/>
  <c r="L117" i="3"/>
  <c r="L50" i="3"/>
  <c r="L17" i="3"/>
  <c r="L112" i="3"/>
  <c r="L75" i="3"/>
  <c r="L103" i="3"/>
  <c r="L41" i="3"/>
  <c r="L61" i="3"/>
  <c r="L104" i="3"/>
  <c r="L124" i="3"/>
  <c r="L49" i="3"/>
  <c r="L19" i="3"/>
  <c r="L100" i="3"/>
  <c r="L113" i="3"/>
  <c r="L123" i="3"/>
  <c r="L47" i="3"/>
  <c r="L51" i="3"/>
  <c r="L16" i="3"/>
  <c r="L60" i="3"/>
  <c r="L56" i="3"/>
  <c r="E33" i="15"/>
  <c r="L25" i="3"/>
  <c r="L126" i="3"/>
  <c r="L63" i="3"/>
  <c r="E46" i="15"/>
  <c r="L115" i="3"/>
  <c r="E122" i="15"/>
  <c r="E63" i="15"/>
  <c r="L58" i="3"/>
  <c r="E79" i="15"/>
  <c r="E32" i="15"/>
  <c r="E48" i="15"/>
  <c r="E24" i="15"/>
  <c r="E61" i="15"/>
  <c r="E39" i="15"/>
  <c r="E101" i="15"/>
  <c r="E14" i="15"/>
  <c r="E31" i="15"/>
  <c r="E59" i="15"/>
  <c r="E121" i="15"/>
  <c r="E80" i="15"/>
  <c r="E78" i="15"/>
  <c r="L119" i="3"/>
  <c r="L105" i="3"/>
  <c r="G9" i="8"/>
  <c r="Q2" i="9"/>
  <c r="R2" i="3"/>
  <c r="L6" i="3"/>
  <c r="K6" i="3"/>
  <c r="L118" i="3"/>
  <c r="L26" i="3"/>
  <c r="P88" i="3"/>
  <c r="P33" i="3"/>
  <c r="P47" i="3"/>
  <c r="P62" i="3"/>
  <c r="P94" i="3"/>
  <c r="P35" i="3"/>
  <c r="P89" i="3"/>
  <c r="P100" i="3"/>
  <c r="P79" i="3"/>
  <c r="P34" i="3"/>
  <c r="P130" i="3"/>
  <c r="P83" i="3"/>
  <c r="P90" i="3"/>
  <c r="P113" i="3"/>
  <c r="P59" i="3"/>
  <c r="P131" i="3"/>
  <c r="P58" i="3"/>
  <c r="S128" i="3"/>
  <c r="S21" i="3"/>
  <c r="P76" i="3"/>
  <c r="P115" i="3"/>
  <c r="P97" i="3"/>
  <c r="P64" i="3"/>
  <c r="P25" i="3"/>
  <c r="P122" i="3"/>
  <c r="P84" i="3"/>
  <c r="P54" i="3"/>
  <c r="S31" i="3"/>
  <c r="S46" i="3"/>
  <c r="P16" i="3"/>
  <c r="P56" i="3"/>
  <c r="P49" i="3"/>
  <c r="P63" i="3"/>
  <c r="P106" i="3"/>
  <c r="P24" i="3"/>
  <c r="P107" i="3"/>
  <c r="P36" i="3"/>
  <c r="S11" i="3"/>
  <c r="P23" i="3"/>
  <c r="P117" i="3"/>
  <c r="P45" i="3"/>
  <c r="P82" i="3"/>
  <c r="P13" i="3"/>
  <c r="S87" i="3"/>
  <c r="P75" i="3"/>
  <c r="P111" i="3"/>
  <c r="P26" i="3"/>
  <c r="P27" i="3"/>
  <c r="P17" i="3"/>
  <c r="P14" i="3"/>
  <c r="P69" i="3"/>
  <c r="P12" i="3"/>
  <c r="P32" i="3"/>
  <c r="P81" i="3"/>
  <c r="S55" i="3"/>
  <c r="P78" i="3"/>
  <c r="P29" i="3"/>
  <c r="P77" i="3"/>
  <c r="P74" i="3"/>
  <c r="P72" i="3"/>
  <c r="P127" i="3"/>
  <c r="S39" i="3"/>
  <c r="P60" i="3"/>
  <c r="P102" i="3"/>
  <c r="P18" i="3"/>
  <c r="P48" i="3"/>
  <c r="P15" i="3"/>
  <c r="S88" i="3"/>
  <c r="P98" i="3"/>
  <c r="P51" i="3"/>
  <c r="P50" i="3"/>
  <c r="P101" i="3"/>
  <c r="P104" i="3"/>
  <c r="P126" i="3"/>
  <c r="P112" i="3"/>
  <c r="P37" i="3"/>
  <c r="P118" i="3"/>
  <c r="P22" i="3"/>
  <c r="P19" i="3"/>
  <c r="S66" i="3"/>
  <c r="P71" i="3"/>
  <c r="S40" i="3"/>
  <c r="P41" i="3"/>
  <c r="P119" i="3"/>
  <c r="S86" i="3"/>
  <c r="P57" i="3"/>
  <c r="P124" i="3"/>
  <c r="P80" i="3"/>
  <c r="P28" i="3"/>
  <c r="P109" i="3"/>
  <c r="P73" i="3"/>
  <c r="P99" i="3"/>
  <c r="P116" i="3"/>
  <c r="P30" i="3"/>
  <c r="P91" i="3"/>
  <c r="P114" i="3"/>
  <c r="P110" i="3"/>
  <c r="P43" i="3"/>
  <c r="P92" i="3"/>
  <c r="S53" i="3"/>
  <c r="S85" i="3"/>
  <c r="P61" i="3"/>
  <c r="P105" i="3"/>
  <c r="P20" i="3"/>
  <c r="P103" i="3"/>
  <c r="P120" i="3"/>
  <c r="P65" i="3"/>
  <c r="P96" i="3"/>
  <c r="P42" i="3"/>
  <c r="S68" i="3"/>
  <c r="P44" i="3"/>
  <c r="S129" i="3"/>
  <c r="P123" i="3"/>
  <c r="P93" i="3"/>
  <c r="S70" i="3"/>
  <c r="P52" i="3"/>
  <c r="P121" i="3"/>
  <c r="P95" i="3"/>
  <c r="P125" i="3"/>
  <c r="P67" i="3"/>
  <c r="S108" i="3"/>
  <c r="S38" i="3"/>
  <c r="E81" i="15" l="1"/>
  <c r="F33" i="15"/>
  <c r="E65" i="15"/>
  <c r="E5" i="15"/>
  <c r="E102" i="15"/>
  <c r="E92" i="15"/>
  <c r="E6" i="15"/>
  <c r="E23" i="15"/>
  <c r="E26" i="15"/>
  <c r="E67" i="15"/>
  <c r="E25" i="15"/>
  <c r="E104" i="15"/>
  <c r="E7" i="15"/>
  <c r="E13" i="15"/>
  <c r="E22" i="15"/>
  <c r="F122" i="15"/>
  <c r="F78" i="15"/>
  <c r="F81" i="15"/>
  <c r="F59" i="15"/>
  <c r="F48" i="15"/>
  <c r="F14" i="15"/>
  <c r="E90" i="15"/>
  <c r="E88" i="15"/>
  <c r="E86" i="15"/>
  <c r="F32" i="15"/>
  <c r="E89" i="15"/>
  <c r="E41" i="15"/>
  <c r="F4" i="15"/>
  <c r="E95" i="15"/>
  <c r="E64" i="15"/>
  <c r="E66" i="15"/>
  <c r="E76" i="15"/>
  <c r="E62" i="15"/>
  <c r="E57" i="15"/>
  <c r="E60" i="15"/>
  <c r="E91" i="15"/>
  <c r="E103" i="15"/>
  <c r="E58" i="15"/>
  <c r="E100" i="15"/>
  <c r="E8" i="15"/>
  <c r="E118" i="15"/>
  <c r="F46" i="15"/>
  <c r="E37" i="15"/>
  <c r="E45" i="15"/>
  <c r="E17" i="15"/>
  <c r="E52" i="15"/>
  <c r="E115" i="15"/>
  <c r="E69" i="15"/>
  <c r="E123" i="15"/>
  <c r="E74" i="15"/>
  <c r="E109" i="15"/>
  <c r="E99" i="15"/>
  <c r="E50" i="15"/>
  <c r="F63" i="15"/>
  <c r="E124" i="15"/>
  <c r="E83" i="15"/>
  <c r="E75" i="15"/>
  <c r="E84" i="15"/>
  <c r="E77" i="15"/>
  <c r="E16" i="15"/>
  <c r="E70" i="15"/>
  <c r="E73" i="15"/>
  <c r="E11" i="15"/>
  <c r="E113" i="15"/>
  <c r="E120" i="15"/>
  <c r="E85" i="15"/>
  <c r="E21" i="15"/>
  <c r="E29" i="15"/>
  <c r="E28" i="15"/>
  <c r="E15" i="15"/>
  <c r="E114" i="15"/>
  <c r="E20" i="15"/>
  <c r="E27" i="15"/>
  <c r="E38" i="15"/>
  <c r="E82" i="15"/>
  <c r="E35" i="15"/>
  <c r="E36" i="15"/>
  <c r="E87" i="15"/>
  <c r="E47" i="15"/>
  <c r="E30" i="15"/>
  <c r="E71" i="15"/>
  <c r="E105" i="15"/>
  <c r="E43" i="15"/>
  <c r="E55" i="15"/>
  <c r="E72" i="15"/>
  <c r="E10" i="15"/>
  <c r="E110" i="15"/>
  <c r="E94" i="15"/>
  <c r="E107" i="15"/>
  <c r="E9" i="15"/>
  <c r="E40" i="15"/>
  <c r="E106" i="15"/>
  <c r="E12" i="15"/>
  <c r="E117" i="15"/>
  <c r="E54" i="15"/>
  <c r="E96" i="15"/>
  <c r="E53" i="15"/>
  <c r="E44" i="15"/>
  <c r="E116" i="15"/>
  <c r="E93" i="15"/>
  <c r="E42" i="15"/>
  <c r="E97" i="15"/>
  <c r="E34" i="15"/>
  <c r="E68" i="15"/>
  <c r="E49" i="15"/>
  <c r="F31" i="15"/>
  <c r="F24" i="15"/>
  <c r="F80" i="15"/>
  <c r="F121" i="15"/>
  <c r="F61" i="15"/>
  <c r="F39" i="15"/>
  <c r="F79" i="15"/>
  <c r="F101" i="15"/>
  <c r="E18" i="15"/>
  <c r="E56" i="15"/>
  <c r="E119" i="15"/>
  <c r="E108" i="15"/>
  <c r="E51" i="15"/>
  <c r="E19" i="15"/>
  <c r="E112" i="15"/>
  <c r="E111" i="15"/>
  <c r="E98" i="15"/>
  <c r="Y132" i="3"/>
  <c r="Y10" i="3"/>
  <c r="Y133" i="3"/>
  <c r="Y9" i="3"/>
  <c r="J62" i="3"/>
  <c r="J41" i="3"/>
  <c r="J42" i="3"/>
  <c r="J25" i="3"/>
  <c r="J18" i="3"/>
  <c r="J105" i="3"/>
  <c r="J28" i="3"/>
  <c r="J98" i="3"/>
  <c r="J34" i="3"/>
  <c r="J84" i="3"/>
  <c r="J80" i="3"/>
  <c r="J40" i="3"/>
  <c r="J111" i="3"/>
  <c r="J81" i="3"/>
  <c r="J72" i="3"/>
  <c r="J97" i="3"/>
  <c r="J100" i="3"/>
  <c r="J77" i="3"/>
  <c r="J108" i="3"/>
  <c r="J73" i="3"/>
  <c r="J69" i="3"/>
  <c r="J26" i="3"/>
  <c r="J65" i="3"/>
  <c r="J12" i="3"/>
  <c r="J35" i="3"/>
  <c r="J130" i="3"/>
  <c r="J37" i="3"/>
  <c r="J87" i="3"/>
  <c r="J101" i="3"/>
  <c r="J119" i="3"/>
  <c r="J39" i="3"/>
  <c r="J129" i="3"/>
  <c r="J59" i="3"/>
  <c r="J94" i="3"/>
  <c r="J11" i="3"/>
  <c r="J121" i="3"/>
  <c r="J96" i="3"/>
  <c r="J76" i="3"/>
  <c r="J95" i="3"/>
  <c r="J89" i="3"/>
  <c r="J52" i="3"/>
  <c r="J16" i="3"/>
  <c r="J45" i="3"/>
  <c r="J85" i="3"/>
  <c r="J60" i="3"/>
  <c r="J90" i="3"/>
  <c r="J53" i="3"/>
  <c r="J107" i="3"/>
  <c r="J112" i="3"/>
  <c r="J102" i="3"/>
  <c r="J30" i="3"/>
  <c r="J122" i="3"/>
  <c r="J23" i="3"/>
  <c r="J114" i="3"/>
  <c r="J43" i="3"/>
  <c r="J128" i="3"/>
  <c r="J63" i="3"/>
  <c r="J125" i="3"/>
  <c r="J49" i="3"/>
  <c r="J133" i="3"/>
  <c r="J10" i="3"/>
  <c r="J32" i="3"/>
  <c r="J131" i="3"/>
  <c r="J124" i="3"/>
  <c r="J13" i="3"/>
  <c r="J20" i="3"/>
  <c r="J75" i="3"/>
  <c r="J50" i="3"/>
  <c r="J67" i="3"/>
  <c r="J82" i="3"/>
  <c r="J14" i="3"/>
  <c r="J104" i="3"/>
  <c r="J110" i="3"/>
  <c r="J54" i="3"/>
  <c r="J86" i="3"/>
  <c r="J31" i="3"/>
  <c r="J22" i="3"/>
  <c r="J21" i="3"/>
  <c r="J115" i="3"/>
  <c r="J109" i="3"/>
  <c r="J46" i="3"/>
  <c r="J9" i="3"/>
  <c r="J99" i="3"/>
  <c r="J66" i="3"/>
  <c r="J29" i="3"/>
  <c r="J70" i="3"/>
  <c r="J47" i="3"/>
  <c r="J57" i="3"/>
  <c r="J44" i="3"/>
  <c r="J113" i="3"/>
  <c r="J92" i="3"/>
  <c r="J123" i="3"/>
  <c r="J56" i="3"/>
  <c r="J17" i="3"/>
  <c r="J68" i="3"/>
  <c r="J15" i="3"/>
  <c r="J71" i="3"/>
  <c r="J55" i="3"/>
  <c r="J38" i="3"/>
  <c r="J33" i="3"/>
  <c r="J88" i="3"/>
  <c r="J48" i="3"/>
  <c r="J78" i="3"/>
  <c r="J51" i="3"/>
  <c r="J127" i="3"/>
  <c r="J120" i="3"/>
  <c r="J74" i="3"/>
  <c r="J126" i="3"/>
  <c r="J64" i="3"/>
  <c r="J36" i="3"/>
  <c r="J93" i="3"/>
  <c r="J91" i="3"/>
  <c r="J24" i="3"/>
  <c r="J116" i="3"/>
  <c r="J19" i="3"/>
  <c r="J103" i="3"/>
  <c r="J83" i="3"/>
  <c r="J61" i="3"/>
  <c r="J132" i="3"/>
  <c r="J117" i="3"/>
  <c r="J58" i="3"/>
  <c r="J106" i="3"/>
  <c r="J27" i="3"/>
  <c r="J79" i="3"/>
  <c r="J118" i="3"/>
  <c r="S73" i="3"/>
  <c r="S20" i="3"/>
  <c r="S99" i="3"/>
  <c r="S16" i="3"/>
  <c r="S44" i="3"/>
  <c r="S42" i="3"/>
  <c r="S52" i="3"/>
  <c r="S120" i="3"/>
  <c r="S64" i="3"/>
  <c r="S29" i="3"/>
  <c r="S119" i="3"/>
  <c r="S127" i="3"/>
  <c r="S95" i="3"/>
  <c r="S19" i="3"/>
  <c r="S25" i="3"/>
  <c r="S26" i="3"/>
  <c r="S51" i="3"/>
  <c r="S61" i="3"/>
  <c r="S50" i="3"/>
  <c r="S114" i="3"/>
  <c r="S117" i="3"/>
  <c r="S91" i="3"/>
  <c r="S54" i="3"/>
  <c r="S27" i="3"/>
  <c r="S89" i="3"/>
  <c r="S13" i="3"/>
  <c r="S28" i="3"/>
  <c r="S37" i="3"/>
  <c r="S118" i="3"/>
  <c r="S35" i="3"/>
  <c r="S41" i="3"/>
  <c r="S106" i="3"/>
  <c r="S131" i="3"/>
  <c r="S84" i="3"/>
  <c r="S116" i="3"/>
  <c r="S94" i="3"/>
  <c r="S76" i="3"/>
  <c r="S18" i="3"/>
  <c r="S65" i="3"/>
  <c r="S112" i="3"/>
  <c r="S111" i="3"/>
  <c r="S90" i="3"/>
  <c r="S101" i="3"/>
  <c r="S71" i="3"/>
  <c r="S113" i="3"/>
  <c r="S100" i="3"/>
  <c r="S110" i="3"/>
  <c r="S58" i="3"/>
  <c r="S82" i="3"/>
  <c r="S30" i="3"/>
  <c r="S80" i="3"/>
  <c r="S130" i="3"/>
  <c r="S69" i="3"/>
  <c r="S115" i="3"/>
  <c r="S75" i="3"/>
  <c r="S17" i="3"/>
  <c r="S60" i="3"/>
  <c r="S62" i="3"/>
  <c r="S109" i="3"/>
  <c r="S14" i="3"/>
  <c r="S59" i="3"/>
  <c r="S72" i="3"/>
  <c r="S79" i="3"/>
  <c r="S15" i="3"/>
  <c r="S24" i="3"/>
  <c r="S48" i="3"/>
  <c r="S125" i="3"/>
  <c r="S45" i="3"/>
  <c r="S22" i="3"/>
  <c r="S83" i="3"/>
  <c r="S77" i="3"/>
  <c r="S105" i="3"/>
  <c r="S49" i="3"/>
  <c r="S102" i="3"/>
  <c r="S57" i="3"/>
  <c r="S56" i="3"/>
  <c r="S97" i="3"/>
  <c r="S34" i="3"/>
  <c r="S47" i="3"/>
  <c r="S124" i="3"/>
  <c r="S107" i="3"/>
  <c r="S98" i="3"/>
  <c r="S93" i="3"/>
  <c r="S36" i="3"/>
  <c r="S122" i="3"/>
  <c r="S12" i="3"/>
  <c r="S33" i="3"/>
  <c r="S104" i="3"/>
  <c r="S43" i="3"/>
  <c r="S67" i="3"/>
  <c r="S78" i="3"/>
  <c r="S32" i="3"/>
  <c r="S63" i="3"/>
  <c r="S123" i="3"/>
  <c r="S96" i="3"/>
  <c r="S126" i="3"/>
  <c r="S23" i="3"/>
  <c r="S81" i="3"/>
  <c r="S74" i="3"/>
  <c r="S103" i="3"/>
  <c r="S121" i="3"/>
  <c r="S92" i="3"/>
  <c r="F22" i="15" l="1"/>
  <c r="F6" i="15"/>
  <c r="F118" i="15"/>
  <c r="F21" i="15"/>
  <c r="F25" i="15"/>
  <c r="F102" i="15"/>
  <c r="F19" i="15"/>
  <c r="F5" i="15"/>
  <c r="F123" i="15"/>
  <c r="F67" i="15"/>
  <c r="F109" i="15"/>
  <c r="F119" i="15"/>
  <c r="F86" i="15"/>
  <c r="F26" i="15"/>
  <c r="F90" i="15"/>
  <c r="F114" i="15"/>
  <c r="F15" i="15"/>
  <c r="F17" i="15"/>
  <c r="F7" i="15"/>
  <c r="F104" i="15"/>
  <c r="F65" i="15"/>
  <c r="F92" i="15"/>
  <c r="F23" i="15"/>
  <c r="F11" i="15"/>
  <c r="F13" i="15"/>
  <c r="F57" i="15"/>
  <c r="F36" i="15"/>
  <c r="F60" i="15"/>
  <c r="F41" i="15"/>
  <c r="F76" i="15"/>
  <c r="F18" i="15"/>
  <c r="F35" i="15"/>
  <c r="F37" i="15"/>
  <c r="F88" i="15"/>
  <c r="F94" i="15"/>
  <c r="F95" i="15"/>
  <c r="F71" i="15"/>
  <c r="F100" i="15"/>
  <c r="F62" i="15"/>
  <c r="F27" i="15"/>
  <c r="F89" i="15"/>
  <c r="F70" i="15"/>
  <c r="F47" i="15"/>
  <c r="F99" i="15"/>
  <c r="F53" i="15"/>
  <c r="F16" i="15"/>
  <c r="F124" i="15"/>
  <c r="F45" i="15"/>
  <c r="F75" i="15"/>
  <c r="F49" i="15"/>
  <c r="F96" i="15"/>
  <c r="F105" i="15"/>
  <c r="F55" i="15"/>
  <c r="F106" i="15"/>
  <c r="F42" i="15"/>
  <c r="F103" i="15"/>
  <c r="F8" i="15"/>
  <c r="F44" i="15"/>
  <c r="F64" i="15"/>
  <c r="F58" i="15"/>
  <c r="F50" i="15"/>
  <c r="F10" i="15"/>
  <c r="F98" i="15"/>
  <c r="F120" i="15"/>
  <c r="F91" i="15"/>
  <c r="F66" i="15"/>
  <c r="F115" i="15"/>
  <c r="F82" i="15"/>
  <c r="F12" i="15"/>
  <c r="F74" i="15"/>
  <c r="F116" i="15"/>
  <c r="F108" i="15"/>
  <c r="F84" i="15"/>
  <c r="F28" i="15"/>
  <c r="F54" i="15"/>
  <c r="F110" i="15"/>
  <c r="F73" i="15"/>
  <c r="F111" i="15"/>
  <c r="F30" i="15"/>
  <c r="F69" i="15"/>
  <c r="F34" i="15"/>
  <c r="F29" i="15"/>
  <c r="F52" i="15"/>
  <c r="F40" i="15"/>
  <c r="F83" i="15"/>
  <c r="F20" i="15"/>
  <c r="F87" i="15"/>
  <c r="F85" i="15"/>
  <c r="F72" i="15"/>
  <c r="F93" i="15"/>
  <c r="F77" i="15"/>
  <c r="F43" i="15"/>
  <c r="F117" i="15"/>
  <c r="F56" i="15"/>
  <c r="F38" i="15"/>
  <c r="F107" i="15"/>
  <c r="F68" i="15"/>
  <c r="F51" i="15"/>
  <c r="F113" i="15"/>
  <c r="F97" i="15"/>
  <c r="F9" i="15"/>
  <c r="F112" i="15"/>
  <c r="Q118" i="3"/>
  <c r="R118" i="3" s="1"/>
  <c r="T118" i="3"/>
  <c r="W118" i="3" s="1"/>
  <c r="T27" i="3"/>
  <c r="W27" i="3" s="1"/>
  <c r="Q27" i="3"/>
  <c r="R27" i="3" s="1"/>
  <c r="T58" i="3"/>
  <c r="W58" i="3" s="1"/>
  <c r="Q58" i="3"/>
  <c r="R58" i="3" s="1"/>
  <c r="Q132" i="3"/>
  <c r="R132" i="3" s="1"/>
  <c r="T132" i="3"/>
  <c r="W132" i="3" s="1"/>
  <c r="Q83" i="3"/>
  <c r="R83" i="3" s="1"/>
  <c r="T83" i="3"/>
  <c r="W83" i="3" s="1"/>
  <c r="Q19" i="3"/>
  <c r="R19" i="3" s="1"/>
  <c r="T19" i="3"/>
  <c r="W19" i="3" s="1"/>
  <c r="Q24" i="3"/>
  <c r="R24" i="3" s="1"/>
  <c r="T24" i="3"/>
  <c r="W24" i="3" s="1"/>
  <c r="T93" i="3"/>
  <c r="W93" i="3" s="1"/>
  <c r="Q93" i="3"/>
  <c r="R93" i="3" s="1"/>
  <c r="Q64" i="3"/>
  <c r="R64" i="3" s="1"/>
  <c r="T64" i="3"/>
  <c r="W64" i="3" s="1"/>
  <c r="Q74" i="3"/>
  <c r="R74" i="3" s="1"/>
  <c r="T74" i="3"/>
  <c r="W74" i="3" s="1"/>
  <c r="T127" i="3"/>
  <c r="W127" i="3" s="1"/>
  <c r="Q127" i="3"/>
  <c r="R127" i="3" s="1"/>
  <c r="Q78" i="3"/>
  <c r="R78" i="3" s="1"/>
  <c r="T78" i="3"/>
  <c r="W78" i="3" s="1"/>
  <c r="T88" i="3"/>
  <c r="W88" i="3" s="1"/>
  <c r="Q88" i="3"/>
  <c r="R88" i="3" s="1"/>
  <c r="Q38" i="3"/>
  <c r="R38" i="3" s="1"/>
  <c r="T38" i="3"/>
  <c r="W38" i="3" s="1"/>
  <c r="Q71" i="3"/>
  <c r="R71" i="3" s="1"/>
  <c r="T71" i="3"/>
  <c r="W71" i="3" s="1"/>
  <c r="Q68" i="3"/>
  <c r="R68" i="3" s="1"/>
  <c r="T68" i="3"/>
  <c r="W68" i="3" s="1"/>
  <c r="T56" i="3"/>
  <c r="W56" i="3" s="1"/>
  <c r="Q56" i="3"/>
  <c r="R56" i="3" s="1"/>
  <c r="T92" i="3"/>
  <c r="W92" i="3" s="1"/>
  <c r="Q92" i="3"/>
  <c r="R92" i="3" s="1"/>
  <c r="T44" i="3"/>
  <c r="W44" i="3" s="1"/>
  <c r="Q44" i="3"/>
  <c r="R44" i="3" s="1"/>
  <c r="T47" i="3"/>
  <c r="W47" i="3" s="1"/>
  <c r="Q47" i="3"/>
  <c r="R47" i="3" s="1"/>
  <c r="Q29" i="3"/>
  <c r="R29" i="3" s="1"/>
  <c r="T29" i="3"/>
  <c r="W29" i="3" s="1"/>
  <c r="T99" i="3"/>
  <c r="W99" i="3" s="1"/>
  <c r="Q99" i="3"/>
  <c r="R99" i="3" s="1"/>
  <c r="Q46" i="3"/>
  <c r="R46" i="3" s="1"/>
  <c r="T46" i="3"/>
  <c r="W46" i="3" s="1"/>
  <c r="Q115" i="3"/>
  <c r="R115" i="3" s="1"/>
  <c r="T115" i="3"/>
  <c r="W115" i="3" s="1"/>
  <c r="Q22" i="3"/>
  <c r="R22" i="3" s="1"/>
  <c r="T22" i="3"/>
  <c r="W22" i="3" s="1"/>
  <c r="Q86" i="3"/>
  <c r="R86" i="3" s="1"/>
  <c r="T86" i="3"/>
  <c r="W86" i="3" s="1"/>
  <c r="Q110" i="3"/>
  <c r="R110" i="3" s="1"/>
  <c r="T110" i="3"/>
  <c r="W110" i="3" s="1"/>
  <c r="Q14" i="3"/>
  <c r="R14" i="3" s="1"/>
  <c r="T14" i="3"/>
  <c r="W14" i="3" s="1"/>
  <c r="Z6" i="3" s="1"/>
  <c r="Q67" i="3"/>
  <c r="R67" i="3" s="1"/>
  <c r="T67" i="3"/>
  <c r="W67" i="3" s="1"/>
  <c r="Q75" i="3"/>
  <c r="R75" i="3" s="1"/>
  <c r="T75" i="3"/>
  <c r="W75" i="3" s="1"/>
  <c r="T13" i="3"/>
  <c r="W13" i="3" s="1"/>
  <c r="Q13" i="3"/>
  <c r="R13" i="3" s="1"/>
  <c r="Q131" i="3"/>
  <c r="R131" i="3" s="1"/>
  <c r="T131" i="3"/>
  <c r="W131" i="3" s="1"/>
  <c r="Q49" i="3"/>
  <c r="R49" i="3" s="1"/>
  <c r="T49" i="3"/>
  <c r="W49" i="3" s="1"/>
  <c r="Q63" i="3"/>
  <c r="R63" i="3" s="1"/>
  <c r="T63" i="3"/>
  <c r="W63" i="3" s="1"/>
  <c r="Q43" i="3"/>
  <c r="R43" i="3" s="1"/>
  <c r="T43" i="3"/>
  <c r="W43" i="3" s="1"/>
  <c r="Q23" i="3"/>
  <c r="R23" i="3" s="1"/>
  <c r="T23" i="3"/>
  <c r="W23" i="3" s="1"/>
  <c r="T30" i="3"/>
  <c r="W30" i="3" s="1"/>
  <c r="Q30" i="3"/>
  <c r="R30" i="3" s="1"/>
  <c r="Q112" i="3"/>
  <c r="R112" i="3" s="1"/>
  <c r="T112" i="3"/>
  <c r="W112" i="3" s="1"/>
  <c r="T53" i="3"/>
  <c r="W53" i="3" s="1"/>
  <c r="Q53" i="3"/>
  <c r="R53" i="3" s="1"/>
  <c r="Q60" i="3"/>
  <c r="R60" i="3" s="1"/>
  <c r="T60" i="3"/>
  <c r="W60" i="3" s="1"/>
  <c r="Q45" i="3"/>
  <c r="R45" i="3" s="1"/>
  <c r="T45" i="3"/>
  <c r="W45" i="3" s="1"/>
  <c r="T52" i="3"/>
  <c r="W52" i="3" s="1"/>
  <c r="Q52" i="3"/>
  <c r="R52" i="3" s="1"/>
  <c r="Q95" i="3"/>
  <c r="R95" i="3" s="1"/>
  <c r="T95" i="3"/>
  <c r="W95" i="3" s="1"/>
  <c r="T96" i="3"/>
  <c r="W96" i="3" s="1"/>
  <c r="Q96" i="3"/>
  <c r="R96" i="3" s="1"/>
  <c r="Q59" i="3"/>
  <c r="R59" i="3" s="1"/>
  <c r="T59" i="3"/>
  <c r="W59" i="3" s="1"/>
  <c r="T39" i="3"/>
  <c r="W39" i="3" s="1"/>
  <c r="Q39" i="3"/>
  <c r="R39" i="3" s="1"/>
  <c r="T101" i="3"/>
  <c r="W101" i="3" s="1"/>
  <c r="Q101" i="3"/>
  <c r="R101" i="3" s="1"/>
  <c r="T37" i="3"/>
  <c r="W37" i="3" s="1"/>
  <c r="Q37" i="3"/>
  <c r="R37" i="3" s="1"/>
  <c r="Q35" i="3"/>
  <c r="R35" i="3" s="1"/>
  <c r="T35" i="3"/>
  <c r="W35" i="3" s="1"/>
  <c r="Q65" i="3"/>
  <c r="R65" i="3" s="1"/>
  <c r="T65" i="3"/>
  <c r="W65" i="3" s="1"/>
  <c r="T69" i="3"/>
  <c r="W69" i="3" s="1"/>
  <c r="Q69" i="3"/>
  <c r="R69" i="3" s="1"/>
  <c r="Q108" i="3"/>
  <c r="R108" i="3" s="1"/>
  <c r="T108" i="3"/>
  <c r="W108" i="3" s="1"/>
  <c r="T100" i="3"/>
  <c r="W100" i="3" s="1"/>
  <c r="Q100" i="3"/>
  <c r="R100" i="3" s="1"/>
  <c r="T72" i="3"/>
  <c r="W72" i="3" s="1"/>
  <c r="Q72" i="3"/>
  <c r="R72" i="3" s="1"/>
  <c r="Q111" i="3"/>
  <c r="R111" i="3" s="1"/>
  <c r="T111" i="3"/>
  <c r="W111" i="3" s="1"/>
  <c r="T80" i="3"/>
  <c r="W80" i="3" s="1"/>
  <c r="Q80" i="3"/>
  <c r="R80" i="3" s="1"/>
  <c r="Q34" i="3"/>
  <c r="R34" i="3" s="1"/>
  <c r="T34" i="3"/>
  <c r="W34" i="3" s="1"/>
  <c r="T28" i="3"/>
  <c r="W28" i="3" s="1"/>
  <c r="Q28" i="3"/>
  <c r="R28" i="3" s="1"/>
  <c r="Q18" i="3"/>
  <c r="R18" i="3" s="1"/>
  <c r="T18" i="3"/>
  <c r="W18" i="3" s="1"/>
  <c r="Q42" i="3"/>
  <c r="R42" i="3" s="1"/>
  <c r="T42" i="3"/>
  <c r="W42" i="3" s="1"/>
  <c r="T62" i="3"/>
  <c r="W62" i="3" s="1"/>
  <c r="Q62" i="3"/>
  <c r="R62" i="3" s="1"/>
  <c r="Z9" i="3"/>
  <c r="AA9" i="3"/>
  <c r="I2" i="15"/>
  <c r="Z10" i="3"/>
  <c r="AA10" i="3"/>
  <c r="I3" i="15"/>
  <c r="Q79" i="3"/>
  <c r="R79" i="3" s="1"/>
  <c r="T79" i="3"/>
  <c r="W79" i="3" s="1"/>
  <c r="Q106" i="3"/>
  <c r="R106" i="3" s="1"/>
  <c r="T106" i="3"/>
  <c r="W106" i="3" s="1"/>
  <c r="Q117" i="3"/>
  <c r="R117" i="3" s="1"/>
  <c r="T117" i="3"/>
  <c r="W117" i="3" s="1"/>
  <c r="T61" i="3"/>
  <c r="W61" i="3" s="1"/>
  <c r="Q61" i="3"/>
  <c r="R61" i="3" s="1"/>
  <c r="Q103" i="3"/>
  <c r="R103" i="3" s="1"/>
  <c r="T103" i="3"/>
  <c r="W103" i="3" s="1"/>
  <c r="T116" i="3"/>
  <c r="W116" i="3" s="1"/>
  <c r="Q116" i="3"/>
  <c r="R116" i="3" s="1"/>
  <c r="Q91" i="3"/>
  <c r="R91" i="3" s="1"/>
  <c r="T91" i="3"/>
  <c r="W91" i="3" s="1"/>
  <c r="T36" i="3"/>
  <c r="W36" i="3" s="1"/>
  <c r="Q36" i="3"/>
  <c r="R36" i="3" s="1"/>
  <c r="T126" i="3"/>
  <c r="W126" i="3" s="1"/>
  <c r="Q126" i="3"/>
  <c r="R126" i="3" s="1"/>
  <c r="Q120" i="3"/>
  <c r="R120" i="3" s="1"/>
  <c r="T120" i="3"/>
  <c r="W120" i="3" s="1"/>
  <c r="Q51" i="3"/>
  <c r="R51" i="3" s="1"/>
  <c r="T51" i="3"/>
  <c r="W51" i="3" s="1"/>
  <c r="Q48" i="3"/>
  <c r="R48" i="3" s="1"/>
  <c r="T48" i="3"/>
  <c r="W48" i="3" s="1"/>
  <c r="Q33" i="3"/>
  <c r="R33" i="3" s="1"/>
  <c r="T33" i="3"/>
  <c r="W33" i="3" s="1"/>
  <c r="T55" i="3"/>
  <c r="W55" i="3" s="1"/>
  <c r="Q55" i="3"/>
  <c r="R55" i="3" s="1"/>
  <c r="Q15" i="3"/>
  <c r="R15" i="3" s="1"/>
  <c r="T15" i="3"/>
  <c r="W15" i="3" s="1"/>
  <c r="T17" i="3"/>
  <c r="W17" i="3" s="1"/>
  <c r="Q17" i="3"/>
  <c r="R17" i="3" s="1"/>
  <c r="Q123" i="3"/>
  <c r="R123" i="3" s="1"/>
  <c r="T123" i="3"/>
  <c r="W123" i="3" s="1"/>
  <c r="Q113" i="3"/>
  <c r="R113" i="3" s="1"/>
  <c r="T113" i="3"/>
  <c r="W113" i="3" s="1"/>
  <c r="Q57" i="3"/>
  <c r="R57" i="3" s="1"/>
  <c r="T57" i="3"/>
  <c r="W57" i="3" s="1"/>
  <c r="Q70" i="3"/>
  <c r="R70" i="3" s="1"/>
  <c r="T70" i="3"/>
  <c r="W70" i="3" s="1"/>
  <c r="Q66" i="3"/>
  <c r="R66" i="3" s="1"/>
  <c r="T66" i="3"/>
  <c r="W66" i="3" s="1"/>
  <c r="Q109" i="3"/>
  <c r="R109" i="3" s="1"/>
  <c r="T109" i="3"/>
  <c r="W109" i="3" s="1"/>
  <c r="T21" i="3"/>
  <c r="W21" i="3" s="1"/>
  <c r="Q21" i="3"/>
  <c r="R21" i="3" s="1"/>
  <c r="Q31" i="3"/>
  <c r="R31" i="3" s="1"/>
  <c r="T31" i="3"/>
  <c r="W31" i="3" s="1"/>
  <c r="T54" i="3"/>
  <c r="W54" i="3" s="1"/>
  <c r="Q54" i="3"/>
  <c r="R54" i="3" s="1"/>
  <c r="Q104" i="3"/>
  <c r="R104" i="3" s="1"/>
  <c r="T104" i="3"/>
  <c r="W104" i="3" s="1"/>
  <c r="Q82" i="3"/>
  <c r="R82" i="3" s="1"/>
  <c r="T82" i="3"/>
  <c r="W82" i="3" s="1"/>
  <c r="T50" i="3"/>
  <c r="W50" i="3" s="1"/>
  <c r="Q50" i="3"/>
  <c r="R50" i="3" s="1"/>
  <c r="Q20" i="3"/>
  <c r="R20" i="3" s="1"/>
  <c r="T20" i="3"/>
  <c r="W20" i="3" s="1"/>
  <c r="T124" i="3"/>
  <c r="W124" i="3" s="1"/>
  <c r="Q124" i="3"/>
  <c r="R124" i="3" s="1"/>
  <c r="Q32" i="3"/>
  <c r="R32" i="3" s="1"/>
  <c r="T32" i="3"/>
  <c r="W32" i="3" s="1"/>
  <c r="T133" i="3"/>
  <c r="W133" i="3" s="1"/>
  <c r="Q133" i="3"/>
  <c r="R133" i="3" s="1"/>
  <c r="Q125" i="3"/>
  <c r="R125" i="3" s="1"/>
  <c r="T125" i="3"/>
  <c r="W125" i="3" s="1"/>
  <c r="Q128" i="3"/>
  <c r="R128" i="3" s="1"/>
  <c r="T128" i="3"/>
  <c r="W128" i="3" s="1"/>
  <c r="Q114" i="3"/>
  <c r="R114" i="3" s="1"/>
  <c r="T114" i="3"/>
  <c r="W114" i="3" s="1"/>
  <c r="Q122" i="3"/>
  <c r="R122" i="3" s="1"/>
  <c r="T122" i="3"/>
  <c r="W122" i="3" s="1"/>
  <c r="Q102" i="3"/>
  <c r="R102" i="3" s="1"/>
  <c r="T102" i="3"/>
  <c r="W102" i="3" s="1"/>
  <c r="Q107" i="3"/>
  <c r="R107" i="3" s="1"/>
  <c r="T107" i="3"/>
  <c r="W107" i="3" s="1"/>
  <c r="Q90" i="3"/>
  <c r="R90" i="3" s="1"/>
  <c r="T90" i="3"/>
  <c r="W90" i="3" s="1"/>
  <c r="T85" i="3"/>
  <c r="W85" i="3" s="1"/>
  <c r="Q85" i="3"/>
  <c r="R85" i="3" s="1"/>
  <c r="Q16" i="3"/>
  <c r="R16" i="3" s="1"/>
  <c r="T16" i="3"/>
  <c r="W16" i="3" s="1"/>
  <c r="Q89" i="3"/>
  <c r="R89" i="3" s="1"/>
  <c r="T89" i="3"/>
  <c r="W89" i="3" s="1"/>
  <c r="Q76" i="3"/>
  <c r="R76" i="3" s="1"/>
  <c r="T76" i="3"/>
  <c r="W76" i="3" s="1"/>
  <c r="Q121" i="3"/>
  <c r="R121" i="3" s="1"/>
  <c r="T121" i="3"/>
  <c r="W121" i="3" s="1"/>
  <c r="T94" i="3"/>
  <c r="W94" i="3" s="1"/>
  <c r="Q94" i="3"/>
  <c r="R94" i="3" s="1"/>
  <c r="T129" i="3"/>
  <c r="W129" i="3" s="1"/>
  <c r="Q129" i="3"/>
  <c r="R129" i="3" s="1"/>
  <c r="Q119" i="3"/>
  <c r="R119" i="3" s="1"/>
  <c r="T119" i="3"/>
  <c r="W119" i="3" s="1"/>
  <c r="Q87" i="3"/>
  <c r="R87" i="3" s="1"/>
  <c r="T87" i="3"/>
  <c r="W87" i="3" s="1"/>
  <c r="Q130" i="3"/>
  <c r="R130" i="3" s="1"/>
  <c r="T130" i="3"/>
  <c r="W130" i="3" s="1"/>
  <c r="Q12" i="3"/>
  <c r="R12" i="3" s="1"/>
  <c r="T12" i="3"/>
  <c r="T26" i="3"/>
  <c r="W26" i="3" s="1"/>
  <c r="Q26" i="3"/>
  <c r="R26" i="3" s="1"/>
  <c r="Q73" i="3"/>
  <c r="R73" i="3" s="1"/>
  <c r="T73" i="3"/>
  <c r="W73" i="3" s="1"/>
  <c r="Q77" i="3"/>
  <c r="R77" i="3" s="1"/>
  <c r="T77" i="3"/>
  <c r="W77" i="3" s="1"/>
  <c r="Q97" i="3"/>
  <c r="R97" i="3" s="1"/>
  <c r="T97" i="3"/>
  <c r="W97" i="3" s="1"/>
  <c r="T81" i="3"/>
  <c r="W81" i="3" s="1"/>
  <c r="Q81" i="3"/>
  <c r="R81" i="3" s="1"/>
  <c r="T40" i="3"/>
  <c r="W40" i="3" s="1"/>
  <c r="Q40" i="3"/>
  <c r="R40" i="3" s="1"/>
  <c r="Q84" i="3"/>
  <c r="R84" i="3" s="1"/>
  <c r="T84" i="3"/>
  <c r="W84" i="3" s="1"/>
  <c r="T98" i="3"/>
  <c r="W98" i="3" s="1"/>
  <c r="Q98" i="3"/>
  <c r="R98" i="3" s="1"/>
  <c r="Q105" i="3"/>
  <c r="R105" i="3" s="1"/>
  <c r="T105" i="3"/>
  <c r="W105" i="3" s="1"/>
  <c r="Q25" i="3"/>
  <c r="R25" i="3" s="1"/>
  <c r="T25" i="3"/>
  <c r="W25" i="3" s="1"/>
  <c r="T41" i="3"/>
  <c r="W41" i="3" s="1"/>
  <c r="Q41" i="3"/>
  <c r="R41" i="3" s="1"/>
  <c r="Z133" i="3"/>
  <c r="AA133" i="3"/>
  <c r="I126" i="15"/>
  <c r="I125" i="15"/>
  <c r="Z132" i="3"/>
  <c r="AA132" i="3"/>
  <c r="P6" i="3" l="1"/>
  <c r="Q6" i="3"/>
  <c r="T6" i="3"/>
  <c r="U6" i="3"/>
  <c r="AA6" i="3"/>
  <c r="R6" i="3" l="1"/>
  <c r="J2" i="9" s="1"/>
  <c r="K2" i="9"/>
  <c r="D8" i="19"/>
  <c r="D14" i="17"/>
  <c r="D9" i="8"/>
  <c r="V6" i="3"/>
  <c r="K2" i="3"/>
  <c r="M1" i="3" s="1"/>
  <c r="A10" i="8" s="1"/>
  <c r="A8" i="19" l="1"/>
  <c r="D8" i="17"/>
  <c r="A9" i="8"/>
  <c r="S6" i="3"/>
  <c r="T1" i="3"/>
  <c r="M8" i="8" s="1"/>
  <c r="N6" i="3"/>
  <c r="W6" i="3"/>
  <c r="X6" i="3"/>
  <c r="G7" i="19" l="1"/>
  <c r="I9" i="8"/>
  <c r="P2" i="9"/>
  <c r="O6" i="3"/>
  <c r="O54" i="3"/>
  <c r="O86" i="3"/>
  <c r="O31" i="3"/>
  <c r="O22" i="3"/>
  <c r="O21" i="3"/>
  <c r="O115" i="3"/>
  <c r="O109" i="3"/>
  <c r="O46" i="3"/>
  <c r="O9" i="3"/>
  <c r="G2" i="15" s="1"/>
  <c r="O99" i="3"/>
  <c r="O66" i="3"/>
  <c r="O29" i="3"/>
  <c r="O70" i="3"/>
  <c r="O47" i="3"/>
  <c r="O57" i="3"/>
  <c r="O44" i="3"/>
  <c r="O113" i="3"/>
  <c r="O92" i="3"/>
  <c r="O123" i="3"/>
  <c r="O56" i="3"/>
  <c r="O17" i="3"/>
  <c r="O68" i="3"/>
  <c r="O15" i="3"/>
  <c r="O71" i="3"/>
  <c r="O55" i="3"/>
  <c r="O38" i="3"/>
  <c r="O33" i="3"/>
  <c r="O88" i="3"/>
  <c r="O48" i="3"/>
  <c r="O110" i="3"/>
  <c r="O78" i="3"/>
  <c r="O51" i="3"/>
  <c r="O127" i="3"/>
  <c r="O120" i="3"/>
  <c r="O74" i="3"/>
  <c r="O62" i="3"/>
  <c r="O41" i="3"/>
  <c r="O42" i="3"/>
  <c r="O25" i="3"/>
  <c r="O18" i="3"/>
  <c r="O105" i="3"/>
  <c r="O28" i="3"/>
  <c r="O98" i="3"/>
  <c r="O34" i="3"/>
  <c r="O84" i="3"/>
  <c r="O80" i="3"/>
  <c r="O40" i="3"/>
  <c r="O111" i="3"/>
  <c r="O81" i="3"/>
  <c r="O72" i="3"/>
  <c r="O97" i="3"/>
  <c r="O100" i="3"/>
  <c r="O77" i="3"/>
  <c r="O108" i="3"/>
  <c r="O73" i="3"/>
  <c r="O69" i="3"/>
  <c r="O26" i="3"/>
  <c r="O65" i="3"/>
  <c r="O12" i="3"/>
  <c r="O35" i="3"/>
  <c r="O130" i="3"/>
  <c r="O37" i="3"/>
  <c r="O87" i="3"/>
  <c r="O101" i="3"/>
  <c r="O119" i="3"/>
  <c r="O39" i="3"/>
  <c r="O129" i="3"/>
  <c r="O59" i="3"/>
  <c r="O94" i="3"/>
  <c r="O11" i="3"/>
  <c r="O121" i="3"/>
  <c r="O96" i="3"/>
  <c r="O76" i="3"/>
  <c r="O95" i="3"/>
  <c r="O89" i="3"/>
  <c r="O52" i="3"/>
  <c r="O16" i="3"/>
  <c r="O45" i="3"/>
  <c r="O85" i="3"/>
  <c r="O60" i="3"/>
  <c r="O90" i="3"/>
  <c r="O53" i="3"/>
  <c r="O107" i="3"/>
  <c r="O112" i="3"/>
  <c r="O102" i="3"/>
  <c r="O30" i="3"/>
  <c r="O122" i="3"/>
  <c r="O23" i="3"/>
  <c r="O114" i="3"/>
  <c r="O43" i="3"/>
  <c r="O128" i="3"/>
  <c r="O63" i="3"/>
  <c r="O125" i="3"/>
  <c r="O49" i="3"/>
  <c r="O133" i="3"/>
  <c r="G126" i="15" s="1"/>
  <c r="O10" i="3"/>
  <c r="G3" i="15" s="1"/>
  <c r="O32" i="3"/>
  <c r="O131" i="3"/>
  <c r="O124" i="3"/>
  <c r="O13" i="3"/>
  <c r="O20" i="3"/>
  <c r="O75" i="3"/>
  <c r="O50" i="3"/>
  <c r="O67" i="3"/>
  <c r="O82" i="3"/>
  <c r="O14" i="3"/>
  <c r="O104" i="3"/>
  <c r="O126" i="3"/>
  <c r="O64" i="3"/>
  <c r="O36" i="3"/>
  <c r="O93" i="3"/>
  <c r="O91" i="3"/>
  <c r="O24" i="3"/>
  <c r="O116" i="3"/>
  <c r="O19" i="3"/>
  <c r="O103" i="3"/>
  <c r="O83" i="3"/>
  <c r="O61" i="3"/>
  <c r="O132" i="3"/>
  <c r="G125" i="15" s="1"/>
  <c r="O117" i="3"/>
  <c r="O58" i="3"/>
  <c r="O106" i="3"/>
  <c r="O27" i="3"/>
  <c r="O79" i="3"/>
  <c r="O118" i="3"/>
  <c r="X9" i="3"/>
  <c r="H2" i="15" s="1"/>
  <c r="U122" i="3"/>
  <c r="U16" i="3"/>
  <c r="U115" i="3"/>
  <c r="U109" i="3"/>
  <c r="U100" i="3"/>
  <c r="U59" i="3"/>
  <c r="U23" i="3"/>
  <c r="U102" i="3"/>
  <c r="U50" i="3"/>
  <c r="U77" i="3"/>
  <c r="U99" i="3"/>
  <c r="U61" i="3"/>
  <c r="U103" i="3"/>
  <c r="U128" i="3"/>
  <c r="U52" i="3"/>
  <c r="U14" i="3"/>
  <c r="U108" i="3"/>
  <c r="U62" i="3"/>
  <c r="U64" i="3"/>
  <c r="U87" i="3"/>
  <c r="U45" i="3"/>
  <c r="U54" i="3"/>
  <c r="U78" i="3"/>
  <c r="U36" i="3"/>
  <c r="U92" i="3"/>
  <c r="U118" i="3"/>
  <c r="U12" i="3"/>
  <c r="U114" i="3"/>
  <c r="U53" i="3"/>
  <c r="U18" i="3"/>
  <c r="U81" i="3"/>
  <c r="U56" i="3"/>
  <c r="U47" i="3"/>
  <c r="U17" i="3"/>
  <c r="U35" i="3"/>
  <c r="U55" i="3"/>
  <c r="U30" i="3"/>
  <c r="U91" i="3"/>
  <c r="U116" i="3"/>
  <c r="U49" i="3"/>
  <c r="U132" i="3"/>
  <c r="U24" i="3"/>
  <c r="U40" i="3"/>
  <c r="U125" i="3"/>
  <c r="U131" i="3"/>
  <c r="U84" i="3"/>
  <c r="U51" i="3"/>
  <c r="U68" i="3"/>
  <c r="U38" i="3"/>
  <c r="U20" i="3"/>
  <c r="U58" i="3"/>
  <c r="U9" i="3"/>
  <c r="U15" i="3"/>
  <c r="U93" i="3"/>
  <c r="U123" i="3"/>
  <c r="U76" i="3"/>
  <c r="U27" i="3"/>
  <c r="U79" i="3"/>
  <c r="U11" i="3"/>
  <c r="U117" i="3"/>
  <c r="U28" i="3"/>
  <c r="U94" i="3"/>
  <c r="U133" i="3"/>
  <c r="U26" i="3"/>
  <c r="U105" i="3"/>
  <c r="U32" i="3"/>
  <c r="U121" i="3"/>
  <c r="U126" i="3"/>
  <c r="U42" i="3"/>
  <c r="U31" i="3"/>
  <c r="U73" i="3"/>
  <c r="U29" i="3"/>
  <c r="U63" i="3"/>
  <c r="U13" i="3"/>
  <c r="U112" i="3"/>
  <c r="U74" i="3"/>
  <c r="U107" i="3"/>
  <c r="U129" i="3"/>
  <c r="U104" i="3"/>
  <c r="U48" i="3"/>
  <c r="U80" i="3"/>
  <c r="U96" i="3"/>
  <c r="U33" i="3"/>
  <c r="U21" i="3"/>
  <c r="U85" i="3"/>
  <c r="U95" i="3"/>
  <c r="U43" i="3"/>
  <c r="U67" i="3"/>
  <c r="U19" i="3"/>
  <c r="U110" i="3"/>
  <c r="U71" i="3"/>
  <c r="U98" i="3"/>
  <c r="U89" i="3"/>
  <c r="U70" i="3"/>
  <c r="U69" i="3"/>
  <c r="U22" i="3"/>
  <c r="U113" i="3"/>
  <c r="U66" i="3"/>
  <c r="U124" i="3"/>
  <c r="U127" i="3"/>
  <c r="U60" i="3"/>
  <c r="U83" i="3"/>
  <c r="U65" i="3"/>
  <c r="U57" i="3"/>
  <c r="U75" i="3"/>
  <c r="U41" i="3"/>
  <c r="U106" i="3"/>
  <c r="U39" i="3"/>
  <c r="U86" i="3"/>
  <c r="U97" i="3"/>
  <c r="U25" i="3"/>
  <c r="U101" i="3"/>
  <c r="U120" i="3"/>
  <c r="U37" i="3"/>
  <c r="U111" i="3"/>
  <c r="U72" i="3"/>
  <c r="U90" i="3"/>
  <c r="U82" i="3"/>
  <c r="U130" i="3"/>
  <c r="U34" i="3"/>
  <c r="U88" i="3"/>
  <c r="U44" i="3"/>
  <c r="U119" i="3"/>
  <c r="U10" i="3"/>
  <c r="Y6" i="3"/>
  <c r="U46" i="3"/>
  <c r="X10" i="3"/>
  <c r="X11" i="3"/>
  <c r="X12" i="3"/>
  <c r="X14" i="3"/>
  <c r="X59" i="3"/>
  <c r="X124" i="3"/>
  <c r="X50" i="3"/>
  <c r="X86" i="3"/>
  <c r="X120" i="3"/>
  <c r="X29" i="3"/>
  <c r="X107" i="3"/>
  <c r="X49" i="3"/>
  <c r="X132" i="3"/>
  <c r="X85" i="3"/>
  <c r="X33" i="3"/>
  <c r="X104" i="3"/>
  <c r="X63" i="3"/>
  <c r="X22" i="3"/>
  <c r="X32" i="3"/>
  <c r="X106" i="3"/>
  <c r="X56" i="3"/>
  <c r="X87" i="3"/>
  <c r="X66" i="3"/>
  <c r="X117" i="3"/>
  <c r="X121" i="3"/>
  <c r="X35" i="3"/>
  <c r="X90" i="3"/>
  <c r="X64" i="3"/>
  <c r="X108" i="3"/>
  <c r="X58" i="3"/>
  <c r="X24" i="3"/>
  <c r="X18" i="3"/>
  <c r="X16" i="3"/>
  <c r="X69" i="3"/>
  <c r="X26" i="3"/>
  <c r="X102" i="3"/>
  <c r="X28" i="3"/>
  <c r="X109" i="3"/>
  <c r="X57" i="3"/>
  <c r="X114" i="3"/>
  <c r="X125" i="3"/>
  <c r="X40" i="3"/>
  <c r="X100" i="3"/>
  <c r="X43" i="3"/>
  <c r="X101" i="3"/>
  <c r="X51" i="3"/>
  <c r="X15" i="3"/>
  <c r="X31" i="3"/>
  <c r="X76" i="3"/>
  <c r="X68" i="3"/>
  <c r="X80" i="3"/>
  <c r="X119" i="3"/>
  <c r="X41" i="3"/>
  <c r="X110" i="3"/>
  <c r="X65" i="3"/>
  <c r="X118" i="3"/>
  <c r="X70" i="3"/>
  <c r="X126" i="3"/>
  <c r="X130" i="3"/>
  <c r="X38" i="3"/>
  <c r="X74" i="3"/>
  <c r="X95" i="3"/>
  <c r="X99" i="3"/>
  <c r="X96" i="3"/>
  <c r="X21" i="3"/>
  <c r="X17" i="3"/>
  <c r="X78" i="3"/>
  <c r="X27" i="3"/>
  <c r="X83" i="3"/>
  <c r="X48" i="3"/>
  <c r="X89" i="3"/>
  <c r="X82" i="3"/>
  <c r="X25" i="3"/>
  <c r="X105" i="3"/>
  <c r="X30" i="3"/>
  <c r="X72" i="3"/>
  <c r="X71" i="3"/>
  <c r="X123" i="3"/>
  <c r="X112" i="3"/>
  <c r="X20" i="3"/>
  <c r="X60" i="3"/>
  <c r="X97" i="3"/>
  <c r="X115" i="3"/>
  <c r="X23" i="3"/>
  <c r="X88" i="3"/>
  <c r="X55" i="3"/>
  <c r="X81" i="3"/>
  <c r="X52" i="3"/>
  <c r="X84" i="3"/>
  <c r="X73" i="3"/>
  <c r="X44" i="3"/>
  <c r="X133" i="3"/>
  <c r="X93" i="3"/>
  <c r="X13" i="3"/>
  <c r="X42" i="3"/>
  <c r="X77" i="3"/>
  <c r="X67" i="3"/>
  <c r="X131" i="3"/>
  <c r="X54" i="3"/>
  <c r="X39" i="3"/>
  <c r="X75" i="3"/>
  <c r="X34" i="3"/>
  <c r="X98" i="3"/>
  <c r="X53" i="3"/>
  <c r="X129" i="3"/>
  <c r="X92" i="3"/>
  <c r="X36" i="3"/>
  <c r="X79" i="3"/>
  <c r="X19" i="3"/>
  <c r="X127" i="3"/>
  <c r="X37" i="3"/>
  <c r="X94" i="3"/>
  <c r="X45" i="3"/>
  <c r="X91" i="3"/>
  <c r="X61" i="3"/>
  <c r="X113" i="3"/>
  <c r="X103" i="3"/>
  <c r="X46" i="3"/>
  <c r="X122" i="3"/>
  <c r="X62" i="3"/>
  <c r="X128" i="3"/>
  <c r="X116" i="3"/>
  <c r="X111" i="3"/>
  <c r="X47" i="3"/>
  <c r="H3" i="15" l="1"/>
  <c r="H4" i="15"/>
  <c r="H5" i="15"/>
  <c r="G5" i="15"/>
  <c r="Y12" i="3"/>
  <c r="G4" i="15"/>
  <c r="Y11" i="3"/>
  <c r="H49" i="15"/>
  <c r="H40" i="15"/>
  <c r="H105" i="15"/>
  <c r="H99" i="15"/>
  <c r="H27" i="15"/>
  <c r="H81" i="15"/>
  <c r="H98" i="15"/>
  <c r="H91" i="15"/>
  <c r="H122" i="15"/>
  <c r="H70" i="15"/>
  <c r="H94" i="15"/>
  <c r="H31" i="15"/>
  <c r="H96" i="15"/>
  <c r="H88" i="15"/>
  <c r="H13" i="15"/>
  <c r="H43" i="15"/>
  <c r="H103" i="15"/>
  <c r="H36" i="15"/>
  <c r="H51" i="15"/>
  <c r="H120" i="15"/>
  <c r="H9" i="15"/>
  <c r="H26" i="15"/>
  <c r="H104" i="15"/>
  <c r="H77" i="15"/>
  <c r="H74" i="15"/>
  <c r="H33" i="15"/>
  <c r="H86" i="15"/>
  <c r="H115" i="15"/>
  <c r="H102" i="15"/>
  <c r="H15" i="15"/>
  <c r="H69" i="15"/>
  <c r="H75" i="15"/>
  <c r="H72" i="15"/>
  <c r="H78" i="15"/>
  <c r="H55" i="15"/>
  <c r="H95" i="15"/>
  <c r="H84" i="15"/>
  <c r="H113" i="15"/>
  <c r="H35" i="15"/>
  <c r="H46" i="15"/>
  <c r="H89" i="15"/>
  <c r="H79" i="15"/>
  <c r="H65" i="15"/>
  <c r="H117" i="15"/>
  <c r="H126" i="15"/>
  <c r="H56" i="15"/>
  <c r="H92" i="15"/>
  <c r="H125" i="15"/>
  <c r="H8" i="15"/>
  <c r="H24" i="15"/>
  <c r="H45" i="15"/>
  <c r="H30" i="15"/>
  <c r="H87" i="15"/>
  <c r="H114" i="15"/>
  <c r="H16" i="15"/>
  <c r="H58" i="15"/>
  <c r="H17" i="15"/>
  <c r="H108" i="15"/>
  <c r="H112" i="15"/>
  <c r="H76" i="15"/>
  <c r="H61" i="15"/>
  <c r="H7" i="15"/>
  <c r="H71" i="15"/>
  <c r="H38" i="15"/>
  <c r="H21" i="15"/>
  <c r="H85" i="15"/>
  <c r="H19" i="15"/>
  <c r="H83" i="15"/>
  <c r="H63" i="15"/>
  <c r="H82" i="15"/>
  <c r="H18" i="15"/>
  <c r="H93" i="15"/>
  <c r="H59" i="15"/>
  <c r="H50" i="15"/>
  <c r="H111" i="15"/>
  <c r="H44" i="15"/>
  <c r="H110" i="15"/>
  <c r="H47" i="15"/>
  <c r="H22" i="15"/>
  <c r="H29" i="15"/>
  <c r="H6" i="15"/>
  <c r="H10" i="15"/>
  <c r="H60" i="15"/>
  <c r="H90" i="15"/>
  <c r="H123" i="15"/>
  <c r="H25" i="15"/>
  <c r="H64" i="15"/>
  <c r="H101" i="15"/>
  <c r="H119" i="15"/>
  <c r="H116" i="15"/>
  <c r="H57" i="15"/>
  <c r="H12" i="15"/>
  <c r="H66" i="15"/>
  <c r="H48" i="15"/>
  <c r="H109" i="15"/>
  <c r="H100" i="15"/>
  <c r="H97" i="15"/>
  <c r="H80" i="15"/>
  <c r="H62" i="15"/>
  <c r="H11" i="15"/>
  <c r="H68" i="15"/>
  <c r="H107" i="15"/>
  <c r="H41" i="15"/>
  <c r="H23" i="15"/>
  <c r="H20" i="15"/>
  <c r="H39" i="15"/>
  <c r="H106" i="15"/>
  <c r="H14" i="15"/>
  <c r="H73" i="15"/>
  <c r="H124" i="15"/>
  <c r="H67" i="15"/>
  <c r="H34" i="15"/>
  <c r="H54" i="15"/>
  <c r="H53" i="15"/>
  <c r="H118" i="15"/>
  <c r="H52" i="15"/>
  <c r="H121" i="15"/>
  <c r="H28" i="15"/>
  <c r="H37" i="15"/>
  <c r="H42" i="15"/>
  <c r="H32" i="15"/>
  <c r="E9" i="8"/>
  <c r="E8" i="19"/>
  <c r="L2" i="9"/>
  <c r="G111" i="15"/>
  <c r="Y118" i="3"/>
  <c r="G20" i="15"/>
  <c r="Y27" i="3"/>
  <c r="G51" i="15"/>
  <c r="Y58" i="3"/>
  <c r="G76" i="15"/>
  <c r="Y83" i="3"/>
  <c r="G12" i="15"/>
  <c r="Y19" i="3"/>
  <c r="G17" i="15"/>
  <c r="Y24" i="3"/>
  <c r="G86" i="15"/>
  <c r="Y93" i="3"/>
  <c r="G57" i="15"/>
  <c r="Y64" i="3"/>
  <c r="G97" i="15"/>
  <c r="Y104" i="3"/>
  <c r="G75" i="15"/>
  <c r="Y82" i="3"/>
  <c r="G43" i="15"/>
  <c r="Y50" i="3"/>
  <c r="G13" i="15"/>
  <c r="Y20" i="3"/>
  <c r="G117" i="15"/>
  <c r="Y124" i="3"/>
  <c r="G25" i="15"/>
  <c r="Y32" i="3"/>
  <c r="G118" i="15"/>
  <c r="Y125" i="3"/>
  <c r="G121" i="15"/>
  <c r="Y128" i="3"/>
  <c r="G107" i="15"/>
  <c r="Y114" i="3"/>
  <c r="G115" i="15"/>
  <c r="Y122" i="3"/>
  <c r="G95" i="15"/>
  <c r="Y102" i="3"/>
  <c r="G100" i="15"/>
  <c r="Y107" i="3"/>
  <c r="G83" i="15"/>
  <c r="Y90" i="3"/>
  <c r="G78" i="15"/>
  <c r="Y85" i="3"/>
  <c r="G9" i="15"/>
  <c r="Y16" i="3"/>
  <c r="G82" i="15"/>
  <c r="Y89" i="3"/>
  <c r="G69" i="15"/>
  <c r="Y76" i="3"/>
  <c r="G114" i="15"/>
  <c r="Y121" i="3"/>
  <c r="G87" i="15"/>
  <c r="Y94" i="3"/>
  <c r="G122" i="15"/>
  <c r="Y129" i="3"/>
  <c r="G112" i="15"/>
  <c r="Y119" i="3"/>
  <c r="G80" i="15"/>
  <c r="Y87" i="3"/>
  <c r="G123" i="15"/>
  <c r="Y130" i="3"/>
  <c r="G19" i="15"/>
  <c r="Y26" i="3"/>
  <c r="G66" i="15"/>
  <c r="Y73" i="3"/>
  <c r="G70" i="15"/>
  <c r="Y77" i="3"/>
  <c r="G90" i="15"/>
  <c r="Y97" i="3"/>
  <c r="G74" i="15"/>
  <c r="Y81" i="3"/>
  <c r="G33" i="15"/>
  <c r="Y40" i="3"/>
  <c r="G77" i="15"/>
  <c r="Y84" i="3"/>
  <c r="G91" i="15"/>
  <c r="Y98" i="3"/>
  <c r="G98" i="15"/>
  <c r="Y105" i="3"/>
  <c r="G18" i="15"/>
  <c r="Y25" i="3"/>
  <c r="G34" i="15"/>
  <c r="Y41" i="3"/>
  <c r="G67" i="15"/>
  <c r="Y74" i="3"/>
  <c r="G120" i="15"/>
  <c r="Y127" i="3"/>
  <c r="G71" i="15"/>
  <c r="Y78" i="3"/>
  <c r="G41" i="15"/>
  <c r="Y48" i="3"/>
  <c r="G26" i="15"/>
  <c r="Y33" i="3"/>
  <c r="G48" i="15"/>
  <c r="Y55" i="3"/>
  <c r="G8" i="15"/>
  <c r="Y15" i="3"/>
  <c r="G10" i="15"/>
  <c r="Y17" i="3"/>
  <c r="G116" i="15"/>
  <c r="Y123" i="3"/>
  <c r="G106" i="15"/>
  <c r="Y113" i="3"/>
  <c r="G50" i="15"/>
  <c r="Y57" i="3"/>
  <c r="G63" i="15"/>
  <c r="Y70" i="3"/>
  <c r="G59" i="15"/>
  <c r="Y66" i="3"/>
  <c r="G102" i="15"/>
  <c r="Y109" i="3"/>
  <c r="G14" i="15"/>
  <c r="Y21" i="3"/>
  <c r="G24" i="15"/>
  <c r="Y31" i="3"/>
  <c r="G47" i="15"/>
  <c r="Y54" i="3"/>
  <c r="G72" i="15"/>
  <c r="Y79" i="3"/>
  <c r="G99" i="15"/>
  <c r="Y106" i="3"/>
  <c r="G110" i="15"/>
  <c r="Y117" i="3"/>
  <c r="G54" i="15"/>
  <c r="Y61" i="3"/>
  <c r="G96" i="15"/>
  <c r="Y103" i="3"/>
  <c r="G109" i="15"/>
  <c r="Y116" i="3"/>
  <c r="G84" i="15"/>
  <c r="Y91" i="3"/>
  <c r="G29" i="15"/>
  <c r="Y36" i="3"/>
  <c r="G119" i="15"/>
  <c r="Y126" i="3"/>
  <c r="G7" i="15"/>
  <c r="Y14" i="3"/>
  <c r="G60" i="15"/>
  <c r="Y67" i="3"/>
  <c r="G68" i="15"/>
  <c r="Y75" i="3"/>
  <c r="G6" i="15"/>
  <c r="Y13" i="3"/>
  <c r="G124" i="15"/>
  <c r="Y131" i="3"/>
  <c r="G42" i="15"/>
  <c r="Y49" i="3"/>
  <c r="G56" i="15"/>
  <c r="Y63" i="3"/>
  <c r="G36" i="15"/>
  <c r="Y43" i="3"/>
  <c r="G16" i="15"/>
  <c r="Y23" i="3"/>
  <c r="G23" i="15"/>
  <c r="Y30" i="3"/>
  <c r="G105" i="15"/>
  <c r="Y112" i="3"/>
  <c r="G46" i="15"/>
  <c r="Y53" i="3"/>
  <c r="G53" i="15"/>
  <c r="Y60" i="3"/>
  <c r="G38" i="15"/>
  <c r="Y45" i="3"/>
  <c r="G45" i="15"/>
  <c r="Y52" i="3"/>
  <c r="G88" i="15"/>
  <c r="Y95" i="3"/>
  <c r="G89" i="15"/>
  <c r="Y96" i="3"/>
  <c r="G52" i="15"/>
  <c r="Y59" i="3"/>
  <c r="G32" i="15"/>
  <c r="Y39" i="3"/>
  <c r="G94" i="15"/>
  <c r="Y101" i="3"/>
  <c r="G30" i="15"/>
  <c r="Y37" i="3"/>
  <c r="G28" i="15"/>
  <c r="Y35" i="3"/>
  <c r="G58" i="15"/>
  <c r="Y65" i="3"/>
  <c r="G62" i="15"/>
  <c r="Y69" i="3"/>
  <c r="G101" i="15"/>
  <c r="Y108" i="3"/>
  <c r="G93" i="15"/>
  <c r="Y100" i="3"/>
  <c r="G65" i="15"/>
  <c r="Y72" i="3"/>
  <c r="G104" i="15"/>
  <c r="Y111" i="3"/>
  <c r="G73" i="15"/>
  <c r="Y80" i="3"/>
  <c r="G27" i="15"/>
  <c r="Y34" i="3"/>
  <c r="G21" i="15"/>
  <c r="Y28" i="3"/>
  <c r="G11" i="15"/>
  <c r="Y18" i="3"/>
  <c r="G35" i="15"/>
  <c r="Y42" i="3"/>
  <c r="G55" i="15"/>
  <c r="Y62" i="3"/>
  <c r="G113" i="15"/>
  <c r="Y120" i="3"/>
  <c r="G44" i="15"/>
  <c r="Y51" i="3"/>
  <c r="G103" i="15"/>
  <c r="Y110" i="3"/>
  <c r="G81" i="15"/>
  <c r="Y88" i="3"/>
  <c r="G31" i="15"/>
  <c r="Y38" i="3"/>
  <c r="G64" i="15"/>
  <c r="Y71" i="3"/>
  <c r="G61" i="15"/>
  <c r="Y68" i="3"/>
  <c r="G49" i="15"/>
  <c r="Y56" i="3"/>
  <c r="G85" i="15"/>
  <c r="Y92" i="3"/>
  <c r="G37" i="15"/>
  <c r="Y44" i="3"/>
  <c r="G40" i="15"/>
  <c r="Y47" i="3"/>
  <c r="G22" i="15"/>
  <c r="Y29" i="3"/>
  <c r="G92" i="15"/>
  <c r="Y99" i="3"/>
  <c r="G39" i="15"/>
  <c r="Y46" i="3"/>
  <c r="G108" i="15"/>
  <c r="Y115" i="3"/>
  <c r="G15" i="15"/>
  <c r="Y22" i="3"/>
  <c r="G79" i="15"/>
  <c r="Y86" i="3"/>
  <c r="I4" i="15" l="1"/>
  <c r="Z11" i="3"/>
  <c r="AA11" i="3"/>
  <c r="Z12" i="3"/>
  <c r="AA12" i="3"/>
  <c r="I5" i="15"/>
  <c r="Z22" i="3"/>
  <c r="AA22" i="3"/>
  <c r="I15" i="15"/>
  <c r="Z46" i="3"/>
  <c r="I39" i="15"/>
  <c r="AA46" i="3"/>
  <c r="I22" i="15"/>
  <c r="Z29" i="3"/>
  <c r="AA29" i="3"/>
  <c r="I37" i="15"/>
  <c r="Z44" i="3"/>
  <c r="AA44" i="3"/>
  <c r="Z56" i="3"/>
  <c r="I49" i="15"/>
  <c r="AA56" i="3"/>
  <c r="I64" i="15"/>
  <c r="AA71" i="3"/>
  <c r="Z71" i="3"/>
  <c r="AA88" i="3"/>
  <c r="Z88" i="3"/>
  <c r="I81" i="15"/>
  <c r="AA51" i="3"/>
  <c r="I44" i="15"/>
  <c r="Z51" i="3"/>
  <c r="AA62" i="3"/>
  <c r="I55" i="15"/>
  <c r="Z62" i="3"/>
  <c r="I11" i="15"/>
  <c r="AA18" i="3"/>
  <c r="Z18" i="3"/>
  <c r="I27" i="15"/>
  <c r="AA34" i="3"/>
  <c r="Z34" i="3"/>
  <c r="Z111" i="3"/>
  <c r="I104" i="15"/>
  <c r="AA111" i="3"/>
  <c r="Z100" i="3"/>
  <c r="I93" i="15"/>
  <c r="AA100" i="3"/>
  <c r="I62" i="15"/>
  <c r="Z69" i="3"/>
  <c r="AA69" i="3"/>
  <c r="Z35" i="3"/>
  <c r="AA35" i="3"/>
  <c r="I28" i="15"/>
  <c r="AA101" i="3"/>
  <c r="I94" i="15"/>
  <c r="Z101" i="3"/>
  <c r="AA59" i="3"/>
  <c r="I52" i="15"/>
  <c r="Z59" i="3"/>
  <c r="Z95" i="3"/>
  <c r="I88" i="15"/>
  <c r="AA95" i="3"/>
  <c r="Z45" i="3"/>
  <c r="AA45" i="3"/>
  <c r="I38" i="15"/>
  <c r="AA53" i="3"/>
  <c r="Z53" i="3"/>
  <c r="I46" i="15"/>
  <c r="Z30" i="3"/>
  <c r="AA30" i="3"/>
  <c r="I23" i="15"/>
  <c r="I36" i="15"/>
  <c r="Z43" i="3"/>
  <c r="AA43" i="3"/>
  <c r="I42" i="15"/>
  <c r="Z49" i="3"/>
  <c r="AA49" i="3"/>
  <c r="AA13" i="3"/>
  <c r="I6" i="15"/>
  <c r="Z13" i="3"/>
  <c r="AB6" i="3"/>
  <c r="Z67" i="3"/>
  <c r="AA67" i="3"/>
  <c r="I60" i="15"/>
  <c r="I119" i="15"/>
  <c r="Z126" i="3"/>
  <c r="AA126" i="3"/>
  <c r="AA91" i="3"/>
  <c r="Z91" i="3"/>
  <c r="I84" i="15"/>
  <c r="AA103" i="3"/>
  <c r="Z103" i="3"/>
  <c r="I96" i="15"/>
  <c r="Z117" i="3"/>
  <c r="I110" i="15"/>
  <c r="AA117" i="3"/>
  <c r="AA79" i="3"/>
  <c r="I72" i="15"/>
  <c r="Z79" i="3"/>
  <c r="I24" i="15"/>
  <c r="AA31" i="3"/>
  <c r="Z31" i="3"/>
  <c r="Z109" i="3"/>
  <c r="AA109" i="3"/>
  <c r="I102" i="15"/>
  <c r="I63" i="15"/>
  <c r="AA70" i="3"/>
  <c r="Z70" i="3"/>
  <c r="Z113" i="3"/>
  <c r="I106" i="15"/>
  <c r="AA113" i="3"/>
  <c r="Z17" i="3"/>
  <c r="I10" i="15"/>
  <c r="AA17" i="3"/>
  <c r="Z55" i="3"/>
  <c r="AA55" i="3"/>
  <c r="I48" i="15"/>
  <c r="I41" i="15"/>
  <c r="Z48" i="3"/>
  <c r="AA48" i="3"/>
  <c r="AA127" i="3"/>
  <c r="Z127" i="3"/>
  <c r="I120" i="15"/>
  <c r="AA25" i="3"/>
  <c r="Z25" i="3"/>
  <c r="I18" i="15"/>
  <c r="Z98" i="3"/>
  <c r="AA98" i="3"/>
  <c r="I91" i="15"/>
  <c r="I33" i="15"/>
  <c r="Z40" i="3"/>
  <c r="AA40" i="3"/>
  <c r="Z97" i="3"/>
  <c r="AA97" i="3"/>
  <c r="I90" i="15"/>
  <c r="Z73" i="3"/>
  <c r="I66" i="15"/>
  <c r="AA73" i="3"/>
  <c r="Z130" i="3"/>
  <c r="AA130" i="3"/>
  <c r="I123" i="15"/>
  <c r="AA119" i="3"/>
  <c r="Z119" i="3"/>
  <c r="I112" i="15"/>
  <c r="AA129" i="3"/>
  <c r="Z129" i="3"/>
  <c r="I122" i="15"/>
  <c r="Z121" i="3"/>
  <c r="AA121" i="3"/>
  <c r="I114" i="15"/>
  <c r="I82" i="15"/>
  <c r="AA89" i="3"/>
  <c r="Z89" i="3"/>
  <c r="I78" i="15"/>
  <c r="Z85" i="3"/>
  <c r="AA85" i="3"/>
  <c r="I83" i="15"/>
  <c r="Z90" i="3"/>
  <c r="AA90" i="3"/>
  <c r="Z107" i="3"/>
  <c r="AA107" i="3"/>
  <c r="I100" i="15"/>
  <c r="I115" i="15"/>
  <c r="Z122" i="3"/>
  <c r="AA122" i="3"/>
  <c r="I107" i="15"/>
  <c r="Z114" i="3"/>
  <c r="AA114" i="3"/>
  <c r="I121" i="15"/>
  <c r="AA128" i="3"/>
  <c r="Z128" i="3"/>
  <c r="I118" i="15"/>
  <c r="AA125" i="3"/>
  <c r="Z125" i="3"/>
  <c r="I25" i="15"/>
  <c r="AA32" i="3"/>
  <c r="Z32" i="3"/>
  <c r="I117" i="15"/>
  <c r="Z124" i="3"/>
  <c r="AA124" i="3"/>
  <c r="AA20" i="3"/>
  <c r="I13" i="15"/>
  <c r="Z20" i="3"/>
  <c r="AA50" i="3"/>
  <c r="Z50" i="3"/>
  <c r="I43" i="15"/>
  <c r="Z82" i="3"/>
  <c r="I75" i="15"/>
  <c r="AA82" i="3"/>
  <c r="I97" i="15"/>
  <c r="Z104" i="3"/>
  <c r="AA104" i="3"/>
  <c r="Z64" i="3"/>
  <c r="AA64" i="3"/>
  <c r="I57" i="15"/>
  <c r="AA93" i="3"/>
  <c r="I86" i="15"/>
  <c r="Z93" i="3"/>
  <c r="AA24" i="3"/>
  <c r="I17" i="15"/>
  <c r="Z24" i="3"/>
  <c r="Z19" i="3"/>
  <c r="AA19" i="3"/>
  <c r="I12" i="15"/>
  <c r="Z83" i="3"/>
  <c r="AA83" i="3"/>
  <c r="I76" i="15"/>
  <c r="AA58" i="3"/>
  <c r="I51" i="15"/>
  <c r="Z58" i="3"/>
  <c r="AA27" i="3"/>
  <c r="I20" i="15"/>
  <c r="Z27" i="3"/>
  <c r="AA118" i="3"/>
  <c r="Z118" i="3"/>
  <c r="I111" i="15"/>
  <c r="I79" i="15"/>
  <c r="AA86" i="3"/>
  <c r="Z86" i="3"/>
  <c r="I108" i="15"/>
  <c r="AA115" i="3"/>
  <c r="Z115" i="3"/>
  <c r="I92" i="15"/>
  <c r="Z99" i="3"/>
  <c r="AA99" i="3"/>
  <c r="AA47" i="3"/>
  <c r="I40" i="15"/>
  <c r="Z47" i="3"/>
  <c r="Z92" i="3"/>
  <c r="AA92" i="3"/>
  <c r="I85" i="15"/>
  <c r="I61" i="15"/>
  <c r="AA68" i="3"/>
  <c r="Z68" i="3"/>
  <c r="AA38" i="3"/>
  <c r="Z38" i="3"/>
  <c r="I31" i="15"/>
  <c r="Z110" i="3"/>
  <c r="AA110" i="3"/>
  <c r="I103" i="15"/>
  <c r="Z120" i="3"/>
  <c r="I113" i="15"/>
  <c r="AA120" i="3"/>
  <c r="AA42" i="3"/>
  <c r="I35" i="15"/>
  <c r="Z42" i="3"/>
  <c r="I21" i="15"/>
  <c r="Z28" i="3"/>
  <c r="AA28" i="3"/>
  <c r="I73" i="15"/>
  <c r="Z80" i="3"/>
  <c r="AA80" i="3"/>
  <c r="I65" i="15"/>
  <c r="Z72" i="3"/>
  <c r="AA72" i="3"/>
  <c r="Z108" i="3"/>
  <c r="I101" i="15"/>
  <c r="AA108" i="3"/>
  <c r="Z65" i="3"/>
  <c r="AA65" i="3"/>
  <c r="I58" i="15"/>
  <c r="Z37" i="3"/>
  <c r="I30" i="15"/>
  <c r="AA37" i="3"/>
  <c r="I32" i="15"/>
  <c r="AA39" i="3"/>
  <c r="Z39" i="3"/>
  <c r="Z96" i="3"/>
  <c r="AA96" i="3"/>
  <c r="I89" i="15"/>
  <c r="Z52" i="3"/>
  <c r="I45" i="15"/>
  <c r="AA52" i="3"/>
  <c r="I53" i="15"/>
  <c r="Z60" i="3"/>
  <c r="AA60" i="3"/>
  <c r="I105" i="15"/>
  <c r="Z112" i="3"/>
  <c r="AA112" i="3"/>
  <c r="AA23" i="3"/>
  <c r="I16" i="15"/>
  <c r="Z23" i="3"/>
  <c r="I56" i="15"/>
  <c r="AA63" i="3"/>
  <c r="Z63" i="3"/>
  <c r="I124" i="15"/>
  <c r="AA131" i="3"/>
  <c r="Z131" i="3"/>
  <c r="I68" i="15"/>
  <c r="Z75" i="3"/>
  <c r="AA75" i="3"/>
  <c r="AA14" i="3"/>
  <c r="I7" i="15"/>
  <c r="Z14" i="3"/>
  <c r="Z36" i="3"/>
  <c r="AA36" i="3"/>
  <c r="I29" i="15"/>
  <c r="I109" i="15"/>
  <c r="AA116" i="3"/>
  <c r="Z116" i="3"/>
  <c r="I54" i="15"/>
  <c r="Z61" i="3"/>
  <c r="AA61" i="3"/>
  <c r="I99" i="15"/>
  <c r="AA106" i="3"/>
  <c r="Z106" i="3"/>
  <c r="AA54" i="3"/>
  <c r="I47" i="15"/>
  <c r="Z54" i="3"/>
  <c r="I14" i="15"/>
  <c r="Z21" i="3"/>
  <c r="AA21" i="3"/>
  <c r="AA66" i="3"/>
  <c r="I59" i="15"/>
  <c r="Z66" i="3"/>
  <c r="Z57" i="3"/>
  <c r="AA57" i="3"/>
  <c r="I50" i="15"/>
  <c r="Z123" i="3"/>
  <c r="I116" i="15"/>
  <c r="AA123" i="3"/>
  <c r="AA15" i="3"/>
  <c r="I8" i="15"/>
  <c r="Z15" i="3"/>
  <c r="I26" i="15"/>
  <c r="AA33" i="3"/>
  <c r="Z33" i="3"/>
  <c r="I71" i="15"/>
  <c r="Z78" i="3"/>
  <c r="AA78" i="3"/>
  <c r="AA74" i="3"/>
  <c r="Z74" i="3"/>
  <c r="I67" i="15"/>
  <c r="I34" i="15"/>
  <c r="Z41" i="3"/>
  <c r="AA41" i="3"/>
  <c r="AA105" i="3"/>
  <c r="Z105" i="3"/>
  <c r="I98" i="15"/>
  <c r="I77" i="15"/>
  <c r="AA84" i="3"/>
  <c r="Z84" i="3"/>
  <c r="I74" i="15"/>
  <c r="Z81" i="3"/>
  <c r="AA81" i="3"/>
  <c r="AA77" i="3"/>
  <c r="Z77" i="3"/>
  <c r="I70" i="15"/>
  <c r="AA26" i="3"/>
  <c r="I19" i="15"/>
  <c r="Z26" i="3"/>
  <c r="I80" i="15"/>
  <c r="AA87" i="3"/>
  <c r="Z87" i="3"/>
  <c r="I87" i="15"/>
  <c r="Z94" i="3"/>
  <c r="AA94" i="3"/>
  <c r="Z76" i="3"/>
  <c r="I69" i="15"/>
  <c r="AA76" i="3"/>
  <c r="Z16" i="3"/>
  <c r="I9" i="15"/>
  <c r="AA16" i="3"/>
  <c r="I95" i="15"/>
  <c r="Z102" i="3"/>
  <c r="AA102" i="3"/>
  <c r="AD6" i="3" l="1"/>
  <c r="F8" i="19"/>
  <c r="R2" i="9"/>
  <c r="K9" i="8"/>
  <c r="AF6" i="3" l="1"/>
  <c r="AE6" i="3"/>
  <c r="AG6" i="3" l="1"/>
  <c r="S2" i="9" s="1"/>
  <c r="L9" i="8" l="1"/>
</calcChain>
</file>

<file path=xl/comments1.xml><?xml version="1.0" encoding="utf-8"?>
<comments xmlns="http://schemas.openxmlformats.org/spreadsheetml/2006/main">
  <authors>
    <author xml:space="preserve"> </author>
    <author>James Swirhun</author>
  </authors>
  <commentList>
    <comment ref="A4" authorId="0">
      <text>
        <r>
          <rPr>
            <b/>
            <sz val="10"/>
            <color indexed="81"/>
            <rFont val="Tahoma"/>
            <family val="2"/>
          </rPr>
          <t>The Sample Type seelcted from pre-set values on the InputRanges sheet.</t>
        </r>
      </text>
    </comment>
    <comment ref="B4" authorId="0">
      <text>
        <r>
          <rPr>
            <b/>
            <sz val="10"/>
            <color indexed="81"/>
            <rFont val="Tahoma"/>
            <family val="2"/>
          </rPr>
          <t>The Sample Name is also used for the filename when saving data so avoid special characters: / ? * etc</t>
        </r>
      </text>
    </comment>
    <comment ref="C4" authorId="0">
      <text>
        <r>
          <rPr>
            <b/>
            <sz val="10"/>
            <color indexed="81"/>
            <rFont val="Tahoma"/>
            <family val="2"/>
          </rPr>
          <t>Thickness of the wafer in cm
e.g. A 100 µm wafer is 0.01 cm thick.</t>
        </r>
      </text>
    </comment>
    <comment ref="D4"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A7" authorId="0">
      <text>
        <r>
          <rPr>
            <b/>
            <sz val="10"/>
            <color indexed="81"/>
            <rFont val="Tahoma"/>
            <family val="2"/>
          </rPr>
          <t>Lifetime of minority carriers at the specified MCD.
(Auger Corrected)</t>
        </r>
      </text>
    </comment>
    <comment ref="B7" authorId="0">
      <text>
        <r>
          <rPr>
            <b/>
            <sz val="10"/>
            <color indexed="81"/>
            <rFont val="Tahoma"/>
            <family val="2"/>
          </rPr>
          <t>Sheet resistivity of the entire wafer thickness.  If wafer is diffused, parallel combination of bulk and emitter diffusion.</t>
        </r>
      </text>
    </comment>
    <comment ref="C7" authorId="0">
      <text>
        <r>
          <rPr>
            <b/>
            <sz val="10"/>
            <color indexed="81"/>
            <rFont val="Tahoma"/>
            <family val="2"/>
          </rPr>
          <t>Measured wafer resistivity based on Ohm/sq and the width.  Only valid for wafers without diffusions.</t>
        </r>
      </text>
    </comment>
    <comment ref="D7"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7"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7" authorId="1">
      <text>
        <r>
          <rPr>
            <b/>
            <sz val="10"/>
            <color indexed="81"/>
            <rFont val="Tahoma"/>
            <family val="2"/>
          </rPr>
          <t>The Implied Voc at an intensity of 1 sun.  This value depends heavily on the input resistivity.</t>
        </r>
      </text>
    </comment>
    <comment ref="G7"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
5. Input Values must be updated: Click the Update button to update the input values for the selected "Sample Type"</t>
        </r>
      </text>
    </comment>
  </commentList>
</comments>
</file>

<file path=xl/comments2.xml><?xml version="1.0" encoding="utf-8"?>
<comments xmlns="http://schemas.openxmlformats.org/spreadsheetml/2006/main">
  <authors>
    <author xml:space="preserve"> </author>
    <author>James Swirhun</author>
  </authors>
  <commentList>
    <comment ref="A5" authorId="0">
      <text>
        <r>
          <rPr>
            <b/>
            <sz val="10"/>
            <color indexed="81"/>
            <rFont val="Tahoma"/>
            <family val="2"/>
          </rPr>
          <t>The Sample Name is also used for the filename when saving data so avoid special characters: / ? * etc</t>
        </r>
      </text>
    </comment>
    <comment ref="B5" authorId="0">
      <text>
        <r>
          <rPr>
            <b/>
            <sz val="10"/>
            <color indexed="81"/>
            <rFont val="Tahoma"/>
            <family val="2"/>
          </rPr>
          <t>Thickness of the wafer in cm
e.g. A 100 µm wafer is 0.01 cm thick.</t>
        </r>
      </text>
    </comment>
    <comment ref="C5"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D5" authorId="1">
      <text>
        <r>
          <rPr>
            <b/>
            <sz val="10"/>
            <color indexed="81"/>
            <rFont val="Tahoma"/>
            <family val="2"/>
          </rPr>
          <t xml:space="preserve">Select p-type or n-type from the drop-down menu.
</t>
        </r>
      </text>
    </comment>
    <comment ref="E5" authorId="0">
      <text>
        <r>
          <rPr>
            <b/>
            <sz val="10"/>
            <color indexed="81"/>
            <rFont val="Tahoma"/>
            <family val="2"/>
          </rPr>
          <t>Photogeneration fraction compared to 38 mA/cm² default.  See User Manual for more details.</t>
        </r>
      </text>
    </comment>
    <comment ref="F5" authorId="0">
      <text>
        <r>
          <rPr>
            <b/>
            <sz val="10"/>
            <color indexed="81"/>
            <rFont val="Tahoma"/>
            <family val="2"/>
          </rPr>
          <t>Minority Carrier Density (MCD) for calculating the lifetime. For most materials the lifetime is not a single parameter but a function of minority carrier density.</t>
        </r>
      </text>
    </comment>
    <comment ref="G5" authorId="0">
      <text>
        <r>
          <rPr>
            <b/>
            <sz val="10"/>
            <color indexed="81"/>
            <rFont val="Tahoma"/>
            <family val="2"/>
          </rPr>
          <t>Light bias corrects traps and removes anomalously high lifetimes in QSS mode.  Not necessary for all samples or in transient mode.  See user manual for more details on how to recognize a sample with trapping.
Typically bias light should be set to 3 suns if trapping is apparent in the signal.</t>
        </r>
      </text>
    </comment>
    <comment ref="H5" authorId="0">
      <text>
        <r>
          <rPr>
            <b/>
            <sz val="10"/>
            <color indexed="81"/>
            <rFont val="Tahoma"/>
            <family val="2"/>
          </rPr>
          <t>Select Analysis Mode from Drop-down Menu.  
Use QSS mode for samples with lifetime less than 100us.  Set flash to 1/1 for QSS mode.  
Use transient mode for samples with lifetime greater than 200us, with flash set to 1/64.  For samples between 100-200us, use Generalized 1/1 or Generalized 1/64, with the corresponding flash setting.</t>
        </r>
      </text>
    </comment>
    <comment ref="I5" authorId="0">
      <text>
        <r>
          <rPr>
            <b/>
            <sz val="10"/>
            <color indexed="81"/>
            <rFont val="Tahoma"/>
            <family val="2"/>
          </rPr>
          <t>Date of the measurement</t>
        </r>
      </text>
    </comment>
    <comment ref="J5" authorId="0">
      <text>
        <r>
          <rPr>
            <b/>
            <sz val="10"/>
            <color indexed="81"/>
            <rFont val="Tahoma"/>
            <family val="2"/>
          </rPr>
          <t>Time of the Measurement</t>
        </r>
      </text>
    </comment>
    <comment ref="K5" authorId="1">
      <text>
        <r>
          <rPr>
            <b/>
            <sz val="10"/>
            <color indexed="81"/>
            <rFont val="Tahoma"/>
            <family val="2"/>
          </rPr>
          <t>Notes if data has been logged to summary file(s).  See Settings sheet for options.</t>
        </r>
      </text>
    </comment>
    <comment ref="A8" authorId="0">
      <text>
        <r>
          <rPr>
            <b/>
            <sz val="10"/>
            <color indexed="81"/>
            <rFont val="Tahoma"/>
            <family val="2"/>
          </rPr>
          <t>Lifetime of minority carriers at the specified MCD.
(Auger Corrected)</t>
        </r>
      </text>
    </comment>
    <comment ref="B8" authorId="0">
      <text>
        <r>
          <rPr>
            <b/>
            <sz val="10"/>
            <color indexed="81"/>
            <rFont val="Tahoma"/>
            <family val="2"/>
          </rPr>
          <t>Sheet resistivity of the entire wafer thickness.  If wafer is diffused, parallel combination of bulk and emitter diffusion.</t>
        </r>
      </text>
    </comment>
    <comment ref="C8" authorId="0">
      <text>
        <r>
          <rPr>
            <b/>
            <sz val="10"/>
            <color indexed="81"/>
            <rFont val="Tahoma"/>
            <family val="2"/>
          </rPr>
          <t>Measured wafer resistivity based on Ohm/sq and the width.  Only valid for wafers without diffusions.</t>
        </r>
      </text>
    </comment>
    <comment ref="D8"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8"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8" authorId="0">
      <text>
        <r>
          <rPr>
            <b/>
            <sz val="10"/>
            <color indexed="81"/>
            <rFont val="Tahoma"/>
            <family val="2"/>
          </rPr>
          <t>Minimum Apparent Minority Carrier Density (MCD).</t>
        </r>
      </text>
    </comment>
    <comment ref="G8" authorId="1">
      <text>
        <r>
          <rPr>
            <b/>
            <sz val="10"/>
            <color indexed="81"/>
            <rFont val="Tahoma"/>
            <family val="2"/>
          </rPr>
          <t>Maximum Apparent Minority Carrier Density (MCD).</t>
        </r>
      </text>
    </comment>
    <comment ref="H8" authorId="0">
      <text>
        <r>
          <rPr>
            <b/>
            <sz val="10"/>
            <color indexed="81"/>
            <rFont val="Tahoma"/>
            <family val="2"/>
          </rPr>
          <t>Bias Point Carrier Density</t>
        </r>
      </text>
    </comment>
    <comment ref="I8" authorId="0">
      <text>
        <r>
          <rPr>
            <b/>
            <sz val="10"/>
            <color indexed="81"/>
            <rFont val="Tahoma"/>
            <family val="2"/>
          </rPr>
          <t>The density of electron-hole pairs with the equivalent conductance as the trap density.</t>
        </r>
        <r>
          <rPr>
            <sz val="8"/>
            <color indexed="81"/>
            <rFont val="Tahoma"/>
            <family val="2"/>
          </rPr>
          <t xml:space="preserve">
</t>
        </r>
      </text>
    </comment>
    <comment ref="J8" authorId="0">
      <text>
        <r>
          <rPr>
            <b/>
            <sz val="10"/>
            <color indexed="81"/>
            <rFont val="Tahoma"/>
            <family val="2"/>
          </rPr>
          <t>The wafer doping of the base region as calculated from the resistivity and dopant type.</t>
        </r>
      </text>
    </comment>
    <comment ref="K8" authorId="1">
      <text>
        <r>
          <rPr>
            <b/>
            <sz val="10"/>
            <color indexed="81"/>
            <rFont val="Tahoma"/>
            <family val="2"/>
          </rPr>
          <t>The Implied Voc at an intensity of 1 sun.  This value depends heavily on the input resistivity.</t>
        </r>
      </text>
    </comment>
    <comment ref="L8" authorId="1">
      <text>
        <r>
          <rPr>
            <b/>
            <sz val="10"/>
            <color indexed="81"/>
            <rFont val="Tahoma"/>
            <family val="2"/>
          </rPr>
          <t>The Implied FF. This output depend heavily on the input parameters.</t>
        </r>
      </text>
    </comment>
    <comment ref="M8"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t>
        </r>
      </text>
    </comment>
  </commentList>
</comments>
</file>

<file path=xl/comments3.xml><?xml version="1.0" encoding="utf-8"?>
<comments xmlns="http://schemas.openxmlformats.org/spreadsheetml/2006/main">
  <authors>
    <author>Adrienne Blum</author>
    <author>James Swirhun</author>
    <author xml:space="preserve"> </author>
    <author>Office</author>
  </authors>
  <commentList>
    <comment ref="B3" authorId="0">
      <text>
        <r>
          <rPr>
            <b/>
            <sz val="8"/>
            <color indexed="81"/>
            <rFont val="Tahoma"/>
            <family val="2"/>
          </rPr>
          <t xml:space="preserve">Instrument Type
</t>
        </r>
      </text>
    </comment>
    <comment ref="B4" authorId="1">
      <text>
        <r>
          <rPr>
            <b/>
            <sz val="8"/>
            <color indexed="81"/>
            <rFont val="Tahoma"/>
            <family val="2"/>
          </rPr>
          <t>Instrument Serial Number</t>
        </r>
      </text>
    </comment>
    <comment ref="F4" authorId="1">
      <text>
        <r>
          <rPr>
            <b/>
            <sz val="8"/>
            <color indexed="81"/>
            <rFont val="Tahoma"/>
            <family val="2"/>
          </rPr>
          <t>Save summary of measurement of to Excel summary File.  Location can be specified as file path, otherwise default is to save to same location as measurement file.</t>
        </r>
      </text>
    </comment>
    <comment ref="B5" authorId="2">
      <text>
        <r>
          <rPr>
            <b/>
            <sz val="8"/>
            <color indexed="81"/>
            <rFont val="Tahoma"/>
            <family val="2"/>
          </rPr>
          <t>Calibration constant of the reference  cell that measures the light intensity.  Do Not Change this Value.</t>
        </r>
      </text>
    </comment>
    <comment ref="F5" authorId="1">
      <text>
        <r>
          <rPr>
            <b/>
            <sz val="8"/>
            <color indexed="81"/>
            <rFont val="Tahoma"/>
            <family val="2"/>
          </rPr>
          <t>Save summary of measurement of to Text File.  Location can be specified as file path, otherwise default is to save to same location as measurement file.</t>
        </r>
      </text>
    </comment>
    <comment ref="B6" authorId="2">
      <text>
        <r>
          <rPr>
            <b/>
            <sz val="8"/>
            <color indexed="81"/>
            <rFont val="Tahoma"/>
            <family val="2"/>
          </rPr>
          <t xml:space="preserve">Calibration of the photoconductivity sensor.  </t>
        </r>
      </text>
    </comment>
    <comment ref="F6" authorId="1">
      <text>
        <r>
          <rPr>
            <b/>
            <sz val="8"/>
            <color indexed="81"/>
            <rFont val="Tahoma"/>
            <family val="2"/>
          </rPr>
          <t>Save summary of measurement of to Access Database.  Location can be specified as file path, otherwise default is to save to same location as measurement file.</t>
        </r>
      </text>
    </comment>
    <comment ref="F7" authorId="1">
      <text>
        <r>
          <rPr>
            <b/>
            <sz val="8"/>
            <color indexed="81"/>
            <rFont val="Tahoma"/>
            <family val="2"/>
          </rPr>
          <t xml:space="preserve">True to automatically save summary of each measurement to files specified above.  </t>
        </r>
      </text>
    </comment>
    <comment ref="F11" authorId="1">
      <text>
        <r>
          <rPr>
            <b/>
            <sz val="8"/>
            <color indexed="81"/>
            <rFont val="Tahoma"/>
            <family val="2"/>
          </rPr>
          <t>True to Automatically save a new Excel measurement file as SampleName.xlsm.</t>
        </r>
      </text>
    </comment>
    <comment ref="B13" authorId="2">
      <text>
        <r>
          <rPr>
            <b/>
            <sz val="8"/>
            <color indexed="81"/>
            <rFont val="Tahoma"/>
            <family val="2"/>
          </rPr>
          <t>Don't change this value</t>
        </r>
      </text>
    </comment>
    <comment ref="B14" authorId="2">
      <text>
        <r>
          <rPr>
            <b/>
            <sz val="8"/>
            <color indexed="81"/>
            <rFont val="Tahoma"/>
            <family val="2"/>
          </rPr>
          <t>Normally Set do DC.</t>
        </r>
      </text>
    </comment>
    <comment ref="F14" authorId="1">
      <text>
        <r>
          <rPr>
            <b/>
            <sz val="8"/>
            <color indexed="81"/>
            <rFont val="Tahoma"/>
            <family val="2"/>
          </rPr>
          <t>True to automatically rescale graphs after each measurement.</t>
        </r>
      </text>
    </comment>
    <comment ref="B15" authorId="3">
      <text>
        <r>
          <rPr>
            <b/>
            <sz val="8"/>
            <color indexed="81"/>
            <rFont val="Tahoma"/>
            <family val="2"/>
          </rPr>
          <t xml:space="preserve">For standard instrument = 1.  </t>
        </r>
      </text>
    </comment>
    <comment ref="B16" authorId="2">
      <text>
        <r>
          <rPr>
            <b/>
            <sz val="8"/>
            <color indexed="81"/>
            <rFont val="Tahoma"/>
            <family val="2"/>
          </rPr>
          <t xml:space="preserve">Fit will cover specified carrier density +/- Fit Range.
</t>
        </r>
      </text>
    </comment>
    <comment ref="B17" authorId="2">
      <text>
        <r>
          <rPr>
            <b/>
            <sz val="8"/>
            <color indexed="81"/>
            <rFont val="Tahoma"/>
            <family val="2"/>
          </rPr>
          <t xml:space="preserve">The Auger analysis can be selected here. The Options are "Sinton" or "Richter." When Richter analysis is selected, bandgap narrowing analysis is turned on. </t>
        </r>
      </text>
    </comment>
    <comment ref="F17" authorId="1">
      <text>
        <r>
          <rPr>
            <b/>
            <sz val="8"/>
            <color indexed="81"/>
            <rFont val="Tahoma"/>
            <family val="2"/>
          </rPr>
          <t>Set to TRUE to enable the "Taking Data" Screen.  False to just take a measurement without making adjustments.</t>
        </r>
      </text>
    </comment>
    <comment ref="B18" authorId="2">
      <text>
        <r>
          <rPr>
            <b/>
            <sz val="8"/>
            <color indexed="81"/>
            <rFont val="Tahoma"/>
            <family val="2"/>
          </rPr>
          <t xml:space="preserve">When the Richter Auger model is used, bandgap narrowing analysis is used in the analysis of the data.
</t>
        </r>
      </text>
    </comment>
    <comment ref="F20" authorId="1">
      <text>
        <r>
          <rPr>
            <b/>
            <sz val="8"/>
            <color indexed="81"/>
            <rFont val="Tahoma"/>
            <family val="2"/>
          </rPr>
          <t xml:space="preserve">Initial Value for Average Function in "Taking Data" Window.  </t>
        </r>
      </text>
    </comment>
    <comment ref="F21" authorId="1">
      <text>
        <r>
          <rPr>
            <b/>
            <sz val="8"/>
            <color indexed="81"/>
            <rFont val="Tahoma"/>
            <family val="2"/>
          </rPr>
          <t>Time between consectutive flashes in Average mode for QSS measurements.  Must be set to 6 seconds for flash to recharge fully.</t>
        </r>
      </text>
    </comment>
    <comment ref="F22" authorId="1">
      <text>
        <r>
          <rPr>
            <b/>
            <sz val="8"/>
            <color indexed="81"/>
            <rFont val="Tahoma"/>
            <family val="2"/>
          </rPr>
          <t>Time between consectutive flashes in Average mode for Transient measurements.  Must be set to 0.3 seconds for flash to recharge fully at 1/64.</t>
        </r>
      </text>
    </comment>
    <comment ref="F25" authorId="1">
      <text>
        <r>
          <rPr>
            <b/>
            <sz val="8"/>
            <color indexed="81"/>
            <rFont val="Tahoma"/>
            <family val="2"/>
          </rPr>
          <t>+/- voltage range for the "Zero Instrument" routine.  Typically set to 1 volt.</t>
        </r>
      </text>
    </comment>
  </commentList>
</comments>
</file>

<file path=xl/sharedStrings.xml><?xml version="1.0" encoding="utf-8"?>
<sst xmlns="http://schemas.openxmlformats.org/spreadsheetml/2006/main" count="551" uniqueCount="432">
  <si>
    <t>Ohms/sq</t>
  </si>
  <si>
    <t>Ohm-cm</t>
  </si>
  <si>
    <t>Fit Range</t>
  </si>
  <si>
    <t>"Carrier density" at bias point</t>
  </si>
  <si>
    <t>Ref (suns)</t>
  </si>
  <si>
    <t>Generation (pairs/s)</t>
  </si>
  <si>
    <t>PCD with baseline shift.</t>
  </si>
  <si>
    <t>Suns near bias point</t>
  </si>
  <si>
    <t>Delta N</t>
  </si>
  <si>
    <t>DC</t>
  </si>
  <si>
    <t>Delta Suns</t>
  </si>
  <si>
    <t>Minority Carrier Density</t>
  </si>
  <si>
    <t>dn/dt</t>
  </si>
  <si>
    <t>Analysis Parameters</t>
  </si>
  <si>
    <t>Sample Name</t>
  </si>
  <si>
    <t>Date</t>
  </si>
  <si>
    <t>Doping (cm-3)</t>
  </si>
  <si>
    <t>Traps (equiv e-h pairs)</t>
  </si>
  <si>
    <t>If h-l-i data, then Jo (A/cm2)</t>
  </si>
  <si>
    <t>Time</t>
  </si>
  <si>
    <t>Optical Constant</t>
  </si>
  <si>
    <t>Max MCD</t>
  </si>
  <si>
    <t>Log to Summary</t>
  </si>
  <si>
    <t>Results of Measurement</t>
  </si>
  <si>
    <t>Ref cell (V/sun)</t>
  </si>
  <si>
    <t>Lifetime at Spec. MCD (µs)</t>
  </si>
  <si>
    <t>n-type</t>
  </si>
  <si>
    <t>Change row 2 to control what gets sent to the summary file</t>
  </si>
  <si>
    <t>Tau fit  @ -NA</t>
  </si>
  <si>
    <t>Jo (A/cm2) 25 C</t>
  </si>
  <si>
    <t>The headings in row 1 are for reference and have no effect on program operation</t>
  </si>
  <si>
    <t>Max suns</t>
  </si>
  <si>
    <t>Name</t>
  </si>
  <si>
    <t>Width</t>
  </si>
  <si>
    <t>Doping</t>
  </si>
  <si>
    <t>Analysis</t>
  </si>
  <si>
    <t>Lifetime</t>
  </si>
  <si>
    <t>Ohmsqr</t>
  </si>
  <si>
    <t>Ohmcm</t>
  </si>
  <si>
    <t>TauFit</t>
  </si>
  <si>
    <t>J0</t>
  </si>
  <si>
    <t>Row 10 is for updating an access database File Summary.mdb The names below must match the column headings in the db file.</t>
  </si>
  <si>
    <t>For both text files and database files only that data that has a heading below gets updates (see manual for more details)</t>
  </si>
  <si>
    <t>Traps</t>
  </si>
  <si>
    <t>Max Suns</t>
  </si>
  <si>
    <t>MaxSuns</t>
  </si>
  <si>
    <t>MaxMCD</t>
  </si>
  <si>
    <t>Conductivity increase</t>
  </si>
  <si>
    <t>Version</t>
  </si>
  <si>
    <t>dc</t>
  </si>
  <si>
    <t>Path name</t>
  </si>
  <si>
    <t>pcgain</t>
  </si>
  <si>
    <t>refgain</t>
  </si>
  <si>
    <t>basegain</t>
  </si>
  <si>
    <t>xfer</t>
  </si>
  <si>
    <t>Photovoltage</t>
  </si>
  <si>
    <t>Reference Voltage</t>
  </si>
  <si>
    <t>Flag marking autoexit</t>
  </si>
  <si>
    <t>Data frequency in us</t>
  </si>
  <si>
    <t>Frequency of AD-conversions</t>
  </si>
  <si>
    <t>Timeout in ms</t>
  </si>
  <si>
    <t>Pulse length in us</t>
  </si>
  <si>
    <t>Trigger level in volts</t>
  </si>
  <si>
    <t>Number of points to transfer to Excel</t>
  </si>
  <si>
    <t>Dark voltage average value</t>
  </si>
  <si>
    <t>Transient</t>
  </si>
  <si>
    <t>Gain last used on channel 0</t>
  </si>
  <si>
    <t>Gain last used on channel 1</t>
  </si>
  <si>
    <t>Gain last used on channel 2</t>
  </si>
  <si>
    <t>Gain last used on channel 3</t>
  </si>
  <si>
    <t>Maximum value measured on channel 0</t>
  </si>
  <si>
    <t>Maximum value measured on channel 1</t>
  </si>
  <si>
    <t>Maximum value measured on channel 2</t>
  </si>
  <si>
    <t>Maximum value measured on channel 3</t>
  </si>
  <si>
    <t>Flag for refcell normalization</t>
  </si>
  <si>
    <t>Flag for photoconductance normalization</t>
  </si>
  <si>
    <t>Flag for dark voltage subtraction</t>
  </si>
  <si>
    <t>Time in s between flashes</t>
  </si>
  <si>
    <t>Gain used for baseline measurement on ch 1</t>
  </si>
  <si>
    <t>Time in us for measuring baseline mean</t>
  </si>
  <si>
    <t>Flag for automatic flash</t>
  </si>
  <si>
    <t>Gain used for thermocouple measurement on ch 0</t>
  </si>
  <si>
    <t>time between flashes</t>
  </si>
  <si>
    <t>Thickness</t>
  </si>
  <si>
    <t>Do autoscale gains</t>
  </si>
  <si>
    <t>[Analysis parameters]</t>
  </si>
  <si>
    <t>Refcell constant</t>
  </si>
  <si>
    <t>Cal const A</t>
  </si>
  <si>
    <t>Cal const B</t>
  </si>
  <si>
    <t>Cal const C</t>
  </si>
  <si>
    <t>Area fraction</t>
  </si>
  <si>
    <t>Transmission fraction</t>
  </si>
  <si>
    <t>Light bias</t>
  </si>
  <si>
    <t>Wafer width</t>
  </si>
  <si>
    <t>MCD to evaluate tau</t>
  </si>
  <si>
    <t>Fit range</t>
  </si>
  <si>
    <t>Analysis type (0:QSS, 1:Trans, 2:Gen)</t>
  </si>
  <si>
    <t>Dopant type (0:p, 1:n)</t>
  </si>
  <si>
    <t>User-input resistivity</t>
  </si>
  <si>
    <t>Use lifetime limits</t>
  </si>
  <si>
    <t>Low lifetime limit</t>
  </si>
  <si>
    <t>High lifetime limit</t>
  </si>
  <si>
    <t>Use resistivity limits</t>
  </si>
  <si>
    <t>Low resistivity limit</t>
  </si>
  <si>
    <t>High resistivity limit</t>
  </si>
  <si>
    <t>Use trapping limits</t>
  </si>
  <si>
    <t>Low trapping limit</t>
  </si>
  <si>
    <t>High trapping limit</t>
  </si>
  <si>
    <t>Pass wafer on timeout</t>
  </si>
  <si>
    <t>TTL LOW width</t>
  </si>
  <si>
    <t>TTL HIGH width</t>
  </si>
  <si>
    <t>Use fixed density (0:yes, 1:no)</t>
  </si>
  <si>
    <t>Percent of max N</t>
  </si>
  <si>
    <t>[Communications]</t>
  </si>
  <si>
    <t>Use database</t>
  </si>
  <si>
    <t>Database location</t>
  </si>
  <si>
    <t>Semaphore location</t>
  </si>
  <si>
    <t>Autosave full data</t>
  </si>
  <si>
    <t>Autosave (full data) location</t>
  </si>
  <si>
    <t>Autosave stats</t>
  </si>
  <si>
    <t>Autosave (stats) location</t>
  </si>
  <si>
    <t>Autosave id (0:date, 1:lot)</t>
  </si>
  <si>
    <t>File suffix</t>
  </si>
  <si>
    <t>File suffix for lotIDs</t>
  </si>
  <si>
    <t>Current date string</t>
  </si>
  <si>
    <t>Current lot ID</t>
  </si>
  <si>
    <t>Current lot start index</t>
  </si>
  <si>
    <t>Current lot end index</t>
  </si>
  <si>
    <t>Current recipe name</t>
  </si>
  <si>
    <t>[Instrument constants]</t>
  </si>
  <si>
    <t>Generalized</t>
  </si>
  <si>
    <t>The row above (row 2) is copied to summary.xlsm when the user presses the "log data to summary" button.</t>
  </si>
  <si>
    <t xml:space="preserve"> true</t>
  </si>
  <si>
    <t xml:space="preserve"> false</t>
  </si>
  <si>
    <t>Auger_coef_used</t>
  </si>
  <si>
    <t>Use_linear_divisions</t>
  </si>
  <si>
    <t>Plot_type_left_graph</t>
  </si>
  <si>
    <t>Plot_type_right_graph</t>
  </si>
  <si>
    <t>Right_graph_x_min</t>
  </si>
  <si>
    <t>Right_graph_x_max</t>
  </si>
  <si>
    <t>Right_graph_left_y_min</t>
  </si>
  <si>
    <t>Right_graph_left_y_max</t>
  </si>
  <si>
    <t>Right_graph_right_y_min</t>
  </si>
  <si>
    <t>Right_graph_right_y_max</t>
  </si>
  <si>
    <t>Left_graph_x_min</t>
  </si>
  <si>
    <t>Left_graph_x_max</t>
  </si>
  <si>
    <t>Left_graph_left_y_min</t>
  </si>
  <si>
    <t>Left_graph_left_y_max</t>
  </si>
  <si>
    <t>Left_graph_right_y_min</t>
  </si>
  <si>
    <t>Left_graph_right_y_max</t>
  </si>
  <si>
    <t>Coupling_channel_0</t>
  </si>
  <si>
    <t>Coupling_channel_1</t>
  </si>
  <si>
    <t xml:space="preserve"> 1.0default</t>
  </si>
  <si>
    <t>Default_recipe_path</t>
  </si>
  <si>
    <t>Primary refcell constant</t>
  </si>
  <si>
    <t>Secondary refcell constant</t>
  </si>
  <si>
    <t>Analysis Mode</t>
  </si>
  <si>
    <t>Sample Parameters</t>
  </si>
  <si>
    <t>Wafer Thickness (cm)</t>
  </si>
  <si>
    <t>Wafer Lifetime Measurement Software</t>
  </si>
  <si>
    <t>Measurement Details</t>
  </si>
  <si>
    <t>Lifetime Data Acquisition and Analysis</t>
  </si>
  <si>
    <t>Resistivity (Ω-cm)</t>
  </si>
  <si>
    <t>Summary Log Settings</t>
  </si>
  <si>
    <t>Instrument Calibration</t>
  </si>
  <si>
    <t>Serial Number</t>
  </si>
  <si>
    <t>A</t>
  </si>
  <si>
    <t>B</t>
  </si>
  <si>
    <t>C</t>
  </si>
  <si>
    <t>Illuminated Area Fraction</t>
  </si>
  <si>
    <t>Auger Coefficient</t>
  </si>
  <si>
    <t>Bias Light (suns)</t>
  </si>
  <si>
    <t>When user clicks on Summary button, send the results to the following files</t>
  </si>
  <si>
    <t>Coupling Mode</t>
  </si>
  <si>
    <t>Dark Voltage</t>
  </si>
  <si>
    <t>Sheet rho Ohms/sq</t>
  </si>
  <si>
    <t>Apparent CD In Range</t>
  </si>
  <si>
    <t>Tau In Range</t>
  </si>
  <si>
    <t>1/Tau Fit Slope</t>
  </si>
  <si>
    <t>1/Tau Fit Intercept</t>
  </si>
  <si>
    <t>CD near bias point</t>
  </si>
  <si>
    <t>Apparent CD</t>
  </si>
  <si>
    <t>Tau (sec)</t>
  </si>
  <si>
    <t>Max Apparent CD</t>
  </si>
  <si>
    <t>Fit Range Min</t>
  </si>
  <si>
    <t>Fit Range Max</t>
  </si>
  <si>
    <t xml:space="preserve">Time of Max Apparent CD </t>
  </si>
  <si>
    <t>Min Apparent CD</t>
  </si>
  <si>
    <t xml:space="preserve">PC at Time of Max Apparent CD </t>
  </si>
  <si>
    <t>SpecMCD - Traps</t>
  </si>
  <si>
    <t>Implied Voc @ 1 sun</t>
  </si>
  <si>
    <t>Text Labels</t>
  </si>
  <si>
    <t>Spec MCD</t>
  </si>
  <si>
    <t>µs</t>
  </si>
  <si>
    <t>Acceptance Parameters</t>
  </si>
  <si>
    <t>Enable Pass/Fail Message</t>
  </si>
  <si>
    <t>Minimum Lifetime (us)</t>
  </si>
  <si>
    <t>Maximum Lifetime (us)</t>
  </si>
  <si>
    <t>Pass or Fail</t>
  </si>
  <si>
    <t>Thickness (cm)</t>
  </si>
  <si>
    <t>Autosave Settings</t>
  </si>
  <si>
    <t>Air Voltage</t>
  </si>
  <si>
    <t>Baseline Air Voltage Measurements</t>
  </si>
  <si>
    <t>Gain Setting</t>
  </si>
  <si>
    <t>Voltage Range (V)</t>
  </si>
  <si>
    <t>Measurement Date</t>
  </si>
  <si>
    <t>Measurement Time</t>
  </si>
  <si>
    <t>Specified MCD</t>
  </si>
  <si>
    <t>Light Bias (Suns)</t>
  </si>
  <si>
    <t>Lifetime at Spec. MCD</t>
  </si>
  <si>
    <t>Calibration A</t>
  </si>
  <si>
    <t>Calibration B</t>
  </si>
  <si>
    <t>Calibration C</t>
  </si>
  <si>
    <t>Ref Cell Cal Const</t>
  </si>
  <si>
    <t>OptConst</t>
  </si>
  <si>
    <t>SpecMCD</t>
  </si>
  <si>
    <t>BiasLight</t>
  </si>
  <si>
    <t>RefCellCal</t>
  </si>
  <si>
    <t>Acal</t>
  </si>
  <si>
    <t>Bcal</t>
  </si>
  <si>
    <t>Ccal</t>
  </si>
  <si>
    <t>InstrumentSN</t>
  </si>
  <si>
    <t>Instrument Serial Number</t>
  </si>
  <si>
    <t>Selection Options</t>
  </si>
  <si>
    <t>QSS</t>
  </si>
  <si>
    <t>p-type</t>
  </si>
  <si>
    <t>Parameter</t>
  </si>
  <si>
    <t>Value</t>
  </si>
  <si>
    <t>Flag String</t>
  </si>
  <si>
    <t>Air Voltage (ZeroCoil)</t>
  </si>
  <si>
    <t>Air Voltage Input Range (Volts +/-)</t>
  </si>
  <si>
    <t>Cal Command</t>
  </si>
  <si>
    <t>Measure Command</t>
  </si>
  <si>
    <t>Raw Data Graph Points</t>
  </si>
  <si>
    <t>PC Gain</t>
  </si>
  <si>
    <t>Ref Gain</t>
  </si>
  <si>
    <t>Upper Bound</t>
  </si>
  <si>
    <t>Lower Bound</t>
  </si>
  <si>
    <t>Zoom Indicators</t>
  </si>
  <si>
    <t>Max Voltage</t>
  </si>
  <si>
    <t>Lower Bound Percentage</t>
  </si>
  <si>
    <t>num flashes for averaging</t>
  </si>
  <si>
    <t>Number of Flashes to average (initial value)</t>
  </si>
  <si>
    <t>Averaging Settings</t>
  </si>
  <si>
    <t>Baseline Voltage Range</t>
  </si>
  <si>
    <t>automatically Log results to specified summary files after each measurement</t>
  </si>
  <si>
    <t>Sample Time</t>
  </si>
  <si>
    <t>Automatically Rescale Graphs after each measurement</t>
  </si>
  <si>
    <t>Rescale Setting</t>
  </si>
  <si>
    <t>Show Taking Data Window Setting</t>
  </si>
  <si>
    <t>Show the Taking Data window during measurement</t>
  </si>
  <si>
    <t># of taus beyond 150mV</t>
  </si>
  <si>
    <t>Index_of_flashmode</t>
  </si>
  <si>
    <t>Signal Clipped (Zoom Out)</t>
  </si>
  <si>
    <t>Signal Low (Zoom In)</t>
  </si>
  <si>
    <t>Error Messages</t>
  </si>
  <si>
    <t>Sat. Ref Cell</t>
  </si>
  <si>
    <t>MCD out of Range</t>
  </si>
  <si>
    <t>Light Bias out of Range</t>
  </si>
  <si>
    <t xml:space="preserve"> </t>
  </si>
  <si>
    <t>Pulse Length</t>
  </si>
  <si>
    <t>Time Scale Flags</t>
  </si>
  <si>
    <t>Sample Type</t>
  </si>
  <si>
    <t>Fit Intercept (µs)</t>
  </si>
  <si>
    <t>Automatically save file after each measurement</t>
  </si>
  <si>
    <t>Transient Mode Total Acquisition Time (µs)</t>
  </si>
  <si>
    <t xml:space="preserve">Transient Mode # of Taus Beyond 150mV </t>
  </si>
  <si>
    <t>Data Acquisition Time Scale Settings</t>
  </si>
  <si>
    <t>Date and Time of Last "Zero Instrument"</t>
  </si>
  <si>
    <t>1 sun Implied Voc (V)</t>
  </si>
  <si>
    <t>MCD at 0.6V Ref Cell</t>
  </si>
  <si>
    <t>MCD for Ref Cell&gt;0.6V</t>
  </si>
  <si>
    <t>Max Valid MCD</t>
  </si>
  <si>
    <t>Air Voltage Stdev</t>
  </si>
  <si>
    <t>1 Sun Implied Voc</t>
  </si>
  <si>
    <t>1SunImpVoc</t>
  </si>
  <si>
    <t>Offset = Air-C</t>
  </si>
  <si>
    <t>Instument Type</t>
  </si>
  <si>
    <t>Results:</t>
  </si>
  <si>
    <t>Result Description</t>
  </si>
  <si>
    <t>Symbolic</t>
  </si>
  <si>
    <t>Units</t>
  </si>
  <si>
    <t>Measured effective lifetime</t>
  </si>
  <si>
    <t xml:space="preserve">     Surface recombination</t>
  </si>
  <si>
    <t>S</t>
  </si>
  <si>
    <t>Sample Parameters:</t>
  </si>
  <si>
    <t>Parameter Description</t>
  </si>
  <si>
    <t>Sample ID</t>
  </si>
  <si>
    <t>-</t>
  </si>
  <si>
    <t>Sample thickness</t>
  </si>
  <si>
    <t>w</t>
  </si>
  <si>
    <t>cm</t>
  </si>
  <si>
    <t>Sample temperature</t>
  </si>
  <si>
    <t>T</t>
  </si>
  <si>
    <t>Doping concentration</t>
  </si>
  <si>
    <t>Doping type</t>
  </si>
  <si>
    <t>n/p</t>
  </si>
  <si>
    <t>Surface passivation, front and back</t>
  </si>
  <si>
    <t>Defect state:</t>
  </si>
  <si>
    <t xml:space="preserve">     Fe dissociation level</t>
  </si>
  <si>
    <t xml:space="preserve">     B:O degradation level</t>
  </si>
  <si>
    <t>Measurement type:</t>
  </si>
  <si>
    <t>Quasi-steady-state (QSS)</t>
  </si>
  <si>
    <t>Excitation wavelengths/frequencies (file)</t>
  </si>
  <si>
    <t>Trapping or DRM correction [if any]</t>
  </si>
  <si>
    <t>Instrument parameters:</t>
  </si>
  <si>
    <t>Instrument model &amp; software version</t>
  </si>
  <si>
    <t xml:space="preserve">Instrument Serial Number </t>
  </si>
  <si>
    <t>Light time profile</t>
  </si>
  <si>
    <t xml:space="preserve">     Calibration of photogeneration</t>
  </si>
  <si>
    <t>Sensor type</t>
  </si>
  <si>
    <t>Eddy Current</t>
  </si>
  <si>
    <t>Detection area</t>
  </si>
  <si>
    <t xml:space="preserve">     Area</t>
  </si>
  <si>
    <t xml:space="preserve">     Number of points</t>
  </si>
  <si>
    <t>1, center</t>
  </si>
  <si>
    <t>Time (s)</t>
  </si>
  <si>
    <r>
      <rPr>
        <sz val="9"/>
        <rFont val="Cambria"/>
        <family val="1"/>
      </rPr>
      <t>τ</t>
    </r>
    <r>
      <rPr>
        <vertAlign val="subscript"/>
        <sz val="9"/>
        <rFont val="Cambria"/>
        <family val="1"/>
      </rPr>
      <t>eff</t>
    </r>
  </si>
  <si>
    <r>
      <rPr>
        <sz val="9"/>
        <rFont val="Calibri"/>
        <family val="2"/>
      </rPr>
      <t>µ</t>
    </r>
    <r>
      <rPr>
        <sz val="9"/>
        <rFont val="Arial"/>
        <family val="2"/>
      </rPr>
      <t>s</t>
    </r>
  </si>
  <si>
    <r>
      <rPr>
        <sz val="9"/>
        <rFont val="Calibri"/>
        <family val="2"/>
      </rPr>
      <t>Δ</t>
    </r>
    <r>
      <rPr>
        <sz val="9"/>
        <rFont val="Arial"/>
        <family val="2"/>
      </rPr>
      <t>n</t>
    </r>
  </si>
  <si>
    <r>
      <t>cm</t>
    </r>
    <r>
      <rPr>
        <vertAlign val="superscript"/>
        <sz val="9"/>
        <rFont val="Arial"/>
        <family val="2"/>
      </rPr>
      <t>-3</t>
    </r>
  </si>
  <si>
    <r>
      <t>cm</t>
    </r>
    <r>
      <rPr>
        <vertAlign val="superscript"/>
        <sz val="9"/>
        <rFont val="Arial"/>
        <family val="2"/>
      </rPr>
      <t>2</t>
    </r>
    <r>
      <rPr>
        <sz val="9"/>
        <rFont val="Arial"/>
        <family val="2"/>
      </rPr>
      <t>/s</t>
    </r>
  </si>
  <si>
    <r>
      <t>τ</t>
    </r>
    <r>
      <rPr>
        <vertAlign val="subscript"/>
        <sz val="9"/>
        <rFont val="Cambria"/>
        <family val="1"/>
      </rPr>
      <t>bulk</t>
    </r>
  </si>
  <si>
    <r>
      <t>J</t>
    </r>
    <r>
      <rPr>
        <vertAlign val="subscript"/>
        <sz val="9"/>
        <rFont val="Arial"/>
        <family val="2"/>
      </rPr>
      <t>oe</t>
    </r>
  </si>
  <si>
    <r>
      <t>A/cm</t>
    </r>
    <r>
      <rPr>
        <vertAlign val="superscript"/>
        <sz val="9"/>
        <rFont val="Arial"/>
        <family val="2"/>
      </rPr>
      <t>2</t>
    </r>
  </si>
  <si>
    <r>
      <rPr>
        <sz val="9"/>
        <rFont val="Calibri"/>
        <family val="2"/>
      </rPr>
      <t>⁰</t>
    </r>
    <r>
      <rPr>
        <sz val="9"/>
        <rFont val="Arial"/>
        <family val="2"/>
      </rPr>
      <t>C</t>
    </r>
  </si>
  <si>
    <r>
      <t>N</t>
    </r>
    <r>
      <rPr>
        <vertAlign val="subscript"/>
        <sz val="9"/>
        <rFont val="Arial"/>
        <family val="2"/>
      </rPr>
      <t xml:space="preserve">A </t>
    </r>
    <r>
      <rPr>
        <sz val="9"/>
        <rFont val="Arial"/>
        <family val="2"/>
      </rPr>
      <t>(N</t>
    </r>
    <r>
      <rPr>
        <vertAlign val="subscript"/>
        <sz val="9"/>
        <rFont val="Arial"/>
        <family val="2"/>
      </rPr>
      <t>D</t>
    </r>
    <r>
      <rPr>
        <sz val="9"/>
        <rFont val="Arial"/>
        <family val="2"/>
      </rPr>
      <t>)</t>
    </r>
  </si>
  <si>
    <r>
      <t xml:space="preserve">     Calibration to </t>
    </r>
    <r>
      <rPr>
        <sz val="9"/>
        <rFont val="Calibri"/>
        <family val="2"/>
      </rPr>
      <t>Δ</t>
    </r>
    <r>
      <rPr>
        <i/>
        <sz val="9"/>
        <rFont val="Arial"/>
        <family val="2"/>
      </rPr>
      <t>n, including mobility model</t>
    </r>
  </si>
  <si>
    <r>
      <t>cm</t>
    </r>
    <r>
      <rPr>
        <vertAlign val="superscript"/>
        <sz val="9"/>
        <rFont val="Arial"/>
        <family val="2"/>
      </rPr>
      <t>2</t>
    </r>
  </si>
  <si>
    <t>V/sun</t>
  </si>
  <si>
    <t xml:space="preserve">     Method of averaging [if any]</t>
  </si>
  <si>
    <t>Time in s</t>
  </si>
  <si>
    <t>Test</t>
  </si>
  <si>
    <t>Interpretation parameters:</t>
  </si>
  <si>
    <t xml:space="preserve">     Bulk lifetime</t>
  </si>
  <si>
    <t xml:space="preserve">     Emitter saturation current</t>
  </si>
  <si>
    <t>Implied Suns</t>
  </si>
  <si>
    <t>Implied Voc</t>
  </si>
  <si>
    <t>Tau (auger corrected) @ specMCD (µs)</t>
  </si>
  <si>
    <t>Tau (auger corrected) @ specMCD (s)</t>
  </si>
  <si>
    <t>1/Tau (auger corrected) @ specMCD</t>
  </si>
  <si>
    <t>1/Tau (auger corrected) Fit Slope</t>
  </si>
  <si>
    <t>1/Tau (auger corrected) Fit Intercept</t>
  </si>
  <si>
    <t>1/Tau in Range</t>
  </si>
  <si>
    <t>C:\SintonInstruments\LifetimeSummaryData\summary.xlsm</t>
  </si>
  <si>
    <t>C:\SintonInstruments\LifetimeSummaryData\summary.txt</t>
  </si>
  <si>
    <t>C:\SintonInstruments\LifetimeSummaryData\summary.accdb</t>
  </si>
  <si>
    <t>C:\lifetime\lifetime.exe /subbase=2 /basetime_us=20000</t>
  </si>
  <si>
    <t>SEMI PV13 Recombination Lifetime Report</t>
  </si>
  <si>
    <t>Carrier density range</t>
  </si>
  <si>
    <t>Measured sheet resistance</t>
  </si>
  <si>
    <r>
      <rPr>
        <sz val="9"/>
        <rFont val="Calibri"/>
        <family val="2"/>
      </rPr>
      <t>Ω</t>
    </r>
    <r>
      <rPr>
        <sz val="9"/>
        <rFont val="Arial"/>
        <family val="2"/>
      </rPr>
      <t>/sq</t>
    </r>
  </si>
  <si>
    <t>Generalized (1/64)</t>
  </si>
  <si>
    <t>Generalized (1/1)</t>
  </si>
  <si>
    <t>Auger Model</t>
  </si>
  <si>
    <t>Bandgap Narrowing Analysis</t>
  </si>
  <si>
    <t>Sinton</t>
  </si>
  <si>
    <t>Richter</t>
  </si>
  <si>
    <t>ON</t>
  </si>
  <si>
    <t>OFF</t>
  </si>
  <si>
    <t>Analysis Parameters\Settings</t>
  </si>
  <si>
    <t>1/Tau Fit (auger corrected)</t>
  </si>
  <si>
    <t>ni</t>
  </si>
  <si>
    <t>PC/Ref</t>
  </si>
  <si>
    <t xml:space="preserve">Delay between flashes Transient/Generalized (1/64) (sec) </t>
  </si>
  <si>
    <t xml:space="preserve">Delay between flashes QSS/Generalized (1/1) (sec) </t>
  </si>
  <si>
    <t>1/Tau Corrected</t>
  </si>
  <si>
    <t>1/Tau corrected in Range</t>
  </si>
  <si>
    <t>1/Tau corrected</t>
  </si>
  <si>
    <t>Tau @ specMCD (s)</t>
  </si>
  <si>
    <t>Table for input data for wafer types</t>
  </si>
  <si>
    <t>Wafer Type</t>
  </si>
  <si>
    <t>PC Zoom</t>
  </si>
  <si>
    <t>Ref Zoom</t>
  </si>
  <si>
    <t># of Flashes to Average</t>
  </si>
  <si>
    <t>Sample</t>
  </si>
  <si>
    <t>Type 2</t>
  </si>
  <si>
    <t>Type 3</t>
  </si>
  <si>
    <t>Type 4</t>
  </si>
  <si>
    <t>Type 5</t>
  </si>
  <si>
    <t>Type 6</t>
  </si>
  <si>
    <t>Type 7</t>
  </si>
  <si>
    <t>Type 8</t>
  </si>
  <si>
    <t>Type 9</t>
  </si>
  <si>
    <t>Type 10</t>
  </si>
  <si>
    <t>Type 11</t>
  </si>
  <si>
    <t>Type 12</t>
  </si>
  <si>
    <t>Type 13</t>
  </si>
  <si>
    <t>Type 14</t>
  </si>
  <si>
    <t>Type 15</t>
  </si>
  <si>
    <r>
      <t>Sheet Resistance (</t>
    </r>
    <r>
      <rPr>
        <sz val="10"/>
        <rFont val="Calibri"/>
        <family val="2"/>
      </rPr>
      <t>Ω</t>
    </r>
    <r>
      <rPr>
        <b/>
        <sz val="10"/>
        <rFont val="Arial"/>
        <family val="2"/>
      </rPr>
      <t>/sq)</t>
    </r>
  </si>
  <si>
    <r>
      <t>Measured Resistivity (</t>
    </r>
    <r>
      <rPr>
        <sz val="10"/>
        <rFont val="Arial"/>
        <family val="2"/>
      </rPr>
      <t>Ω</t>
    </r>
    <r>
      <rPr>
        <b/>
        <sz val="10"/>
        <rFont val="Arial"/>
        <family val="2"/>
      </rPr>
      <t>-cm)</t>
    </r>
  </si>
  <si>
    <r>
      <t>J0 (A/cm</t>
    </r>
    <r>
      <rPr>
        <b/>
        <vertAlign val="superscript"/>
        <sz val="10"/>
        <rFont val="Arial"/>
        <family val="2"/>
      </rPr>
      <t>2</t>
    </r>
    <r>
      <rPr>
        <b/>
        <sz val="10"/>
        <rFont val="Arial"/>
        <family val="2"/>
      </rPr>
      <t>)</t>
    </r>
  </si>
  <si>
    <t>Selection</t>
  </si>
  <si>
    <t>*BGN from Achim Kimmerle, Fraunhofer ISE</t>
  </si>
  <si>
    <t>Default</t>
  </si>
  <si>
    <t>Resistivity Ohm-cm</t>
  </si>
  <si>
    <t>4.4.8</t>
  </si>
  <si>
    <t>Update Cover Sheet</t>
  </si>
  <si>
    <t>© Sinton Instruments 2013</t>
  </si>
  <si>
    <t>ni2/tau</t>
  </si>
  <si>
    <t>ni2/tau fit slope</t>
  </si>
  <si>
    <t>Cut Off</t>
  </si>
  <si>
    <t>© Sinton Instruments 2014</t>
  </si>
  <si>
    <t>arb Jsc</t>
  </si>
  <si>
    <t>Power</t>
  </si>
  <si>
    <t>Max Power</t>
  </si>
  <si>
    <t>Vmp</t>
  </si>
  <si>
    <t>Jmp</t>
  </si>
  <si>
    <t>Jeq</t>
  </si>
  <si>
    <t>Implied FF</t>
  </si>
  <si>
    <t>Implied FF (%)</t>
  </si>
  <si>
    <t>ImpFF</t>
  </si>
  <si>
    <r>
      <t>Specified MCD (cm</t>
    </r>
    <r>
      <rPr>
        <b/>
        <vertAlign val="superscript"/>
        <sz val="12"/>
        <rFont val="Calibri"/>
        <family val="2"/>
        <scheme val="minor"/>
      </rPr>
      <t>-3</t>
    </r>
    <r>
      <rPr>
        <b/>
        <sz val="12"/>
        <rFont val="Calibri"/>
        <family val="2"/>
        <scheme val="minor"/>
      </rPr>
      <t>)</t>
    </r>
  </si>
  <si>
    <r>
      <t>Sheet Resistance (</t>
    </r>
    <r>
      <rPr>
        <sz val="12"/>
        <rFont val="Calibri"/>
        <family val="2"/>
        <scheme val="minor"/>
      </rPr>
      <t>Ω</t>
    </r>
    <r>
      <rPr>
        <b/>
        <sz val="12"/>
        <rFont val="Calibri"/>
        <family val="2"/>
        <scheme val="minor"/>
      </rPr>
      <t>/sq)</t>
    </r>
  </si>
  <si>
    <r>
      <t>Measured Resistivity (</t>
    </r>
    <r>
      <rPr>
        <sz val="12"/>
        <rFont val="Calibri"/>
        <family val="2"/>
        <scheme val="minor"/>
      </rPr>
      <t>Ω</t>
    </r>
    <r>
      <rPr>
        <b/>
        <sz val="12"/>
        <rFont val="Calibri"/>
        <family val="2"/>
        <scheme val="minor"/>
      </rPr>
      <t>-cm)</t>
    </r>
  </si>
  <si>
    <r>
      <t>J0 (A/cm</t>
    </r>
    <r>
      <rPr>
        <b/>
        <vertAlign val="superscript"/>
        <sz val="12"/>
        <rFont val="Calibri"/>
        <family val="2"/>
        <scheme val="minor"/>
      </rPr>
      <t>2</t>
    </r>
    <r>
      <rPr>
        <b/>
        <sz val="12"/>
        <rFont val="Calibri"/>
        <family val="2"/>
        <scheme val="minor"/>
      </rPr>
      <t>)</t>
    </r>
  </si>
  <si>
    <r>
      <t>Min MCD (cm</t>
    </r>
    <r>
      <rPr>
        <b/>
        <vertAlign val="superscript"/>
        <sz val="12"/>
        <rFont val="Calibri"/>
        <family val="2"/>
        <scheme val="minor"/>
      </rPr>
      <t>-3</t>
    </r>
    <r>
      <rPr>
        <b/>
        <sz val="12"/>
        <rFont val="Calibri"/>
        <family val="2"/>
        <scheme val="minor"/>
      </rPr>
      <t>)</t>
    </r>
  </si>
  <si>
    <r>
      <t>Max MCD (cm</t>
    </r>
    <r>
      <rPr>
        <b/>
        <vertAlign val="superscript"/>
        <sz val="12"/>
        <rFont val="Calibri"/>
        <family val="2"/>
        <scheme val="minor"/>
      </rPr>
      <t>-3</t>
    </r>
    <r>
      <rPr>
        <b/>
        <sz val="12"/>
        <rFont val="Calibri"/>
        <family val="2"/>
        <scheme val="minor"/>
      </rPr>
      <t>)</t>
    </r>
  </si>
  <si>
    <r>
      <t>Bias point CD (cm</t>
    </r>
    <r>
      <rPr>
        <b/>
        <vertAlign val="superscript"/>
        <sz val="12"/>
        <rFont val="Calibri"/>
        <family val="2"/>
        <scheme val="minor"/>
      </rPr>
      <t>-3</t>
    </r>
    <r>
      <rPr>
        <b/>
        <sz val="12"/>
        <rFont val="Calibri"/>
        <family val="2"/>
        <scheme val="minor"/>
      </rPr>
      <t>)</t>
    </r>
  </si>
  <si>
    <r>
      <t>Trap Density (cm</t>
    </r>
    <r>
      <rPr>
        <b/>
        <vertAlign val="superscript"/>
        <sz val="12"/>
        <rFont val="Calibri"/>
        <family val="2"/>
        <scheme val="minor"/>
      </rPr>
      <t>-3</t>
    </r>
    <r>
      <rPr>
        <b/>
        <sz val="12"/>
        <rFont val="Calibri"/>
        <family val="2"/>
        <scheme val="minor"/>
      </rPr>
      <t>)</t>
    </r>
  </si>
  <si>
    <r>
      <t>Doping
 (cm</t>
    </r>
    <r>
      <rPr>
        <b/>
        <vertAlign val="superscript"/>
        <sz val="12"/>
        <rFont val="Calibri"/>
        <family val="2"/>
        <scheme val="minor"/>
      </rPr>
      <t>-3</t>
    </r>
    <r>
      <rPr>
        <b/>
        <sz val="12"/>
        <rFont val="Calibri"/>
        <family val="2"/>
        <scheme val="minor"/>
      </rPr>
      <t>)</t>
    </r>
  </si>
  <si>
    <t>4.6.0</t>
  </si>
  <si>
    <t>QSS/Generalized Mode Acquisition Time (µs)</t>
  </si>
  <si>
    <r>
      <t>Wafer Doping (cm</t>
    </r>
    <r>
      <rPr>
        <b/>
        <vertAlign val="superscript"/>
        <sz val="10"/>
        <rFont val="Calibri"/>
        <family val="2"/>
        <scheme val="minor"/>
      </rPr>
      <t>-3</t>
    </r>
    <r>
      <rPr>
        <b/>
        <sz val="10"/>
        <rFont val="Calibri"/>
        <family val="2"/>
        <scheme val="minor"/>
      </rPr>
      <t>)</t>
    </r>
  </si>
  <si>
    <r>
      <t>cm</t>
    </r>
    <r>
      <rPr>
        <vertAlign val="superscript"/>
        <sz val="10"/>
        <rFont val="Calibri"/>
        <family val="2"/>
        <scheme val="minor"/>
      </rPr>
      <t>-3</t>
    </r>
  </si>
  <si>
    <t>Tau @ specMCD (μs)</t>
  </si>
  <si>
    <r>
      <t>Tau fit (µs) (intercept @ -N</t>
    </r>
    <r>
      <rPr>
        <b/>
        <vertAlign val="subscript"/>
        <sz val="10"/>
        <rFont val="Calibri"/>
        <family val="2"/>
        <scheme val="minor"/>
      </rPr>
      <t>A</t>
    </r>
    <r>
      <rPr>
        <b/>
        <sz val="10"/>
        <rFont val="Calibri"/>
        <family val="2"/>
        <scheme val="minor"/>
      </rPr>
      <t>)</t>
    </r>
  </si>
  <si>
    <t>WCT-120</t>
  </si>
  <si>
    <t>WCT-0318</t>
  </si>
  <si>
    <t>Logged</t>
  </si>
  <si>
    <t>nSi_AlOx10B_450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</si>
</sst>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000"/>
    <numFmt numFmtId="165" formatCode="0.0000"/>
    <numFmt numFmtId="166" formatCode="0.0"/>
    <numFmt numFmtId="167" formatCode="0.0E+00"/>
    <numFmt numFmtId="168" formatCode="0.000"/>
    <numFmt numFmtId="169" formatCode="[$-F400]h:mm:ss\ AM/PM"/>
    <numFmt numFmtId="170" formatCode="0.000E+00"/>
  </numFmts>
  <fonts count="48">
    <font>
      <sz val="10"/>
      <name val="Arial"/>
      <family val="2"/>
    </font>
    <font>
      <sz val="10"/>
      <name val="Arial"/>
      <family val="2"/>
    </font>
    <font>
      <b/>
      <sz val="10"/>
      <name val="Arial"/>
      <family val="2"/>
    </font>
    <font>
      <b/>
      <sz val="12"/>
      <name val="Arial"/>
      <family val="2"/>
    </font>
    <font>
      <sz val="8"/>
      <name val="Arial"/>
      <family val="2"/>
    </font>
    <font>
      <b/>
      <sz val="8"/>
      <color indexed="81"/>
      <name val="Tahoma"/>
      <family val="2"/>
    </font>
    <font>
      <sz val="8"/>
      <color indexed="81"/>
      <name val="Tahoma"/>
      <family val="2"/>
    </font>
    <font>
      <b/>
      <sz val="10"/>
      <color indexed="10"/>
      <name val="Arial"/>
      <family val="2"/>
    </font>
    <font>
      <b/>
      <sz val="10"/>
      <color rgb="FFFF0000"/>
      <name val="Arial"/>
      <family val="2"/>
    </font>
    <font>
      <sz val="10"/>
      <name val="Calibri"/>
      <family val="2"/>
    </font>
    <font>
      <b/>
      <sz val="10"/>
      <color indexed="81"/>
      <name val="Tahoma"/>
      <family val="2"/>
    </font>
    <font>
      <b/>
      <sz val="10"/>
      <color indexed="10"/>
      <name val="Tahoma"/>
      <family val="2"/>
    </font>
    <font>
      <b/>
      <sz val="12"/>
      <color rgb="FFFF0000"/>
      <name val="Arial"/>
      <family val="2"/>
    </font>
    <font>
      <b/>
      <sz val="10"/>
      <color rgb="FF2004EC"/>
      <name val="Arial"/>
      <family val="2"/>
    </font>
    <font>
      <b/>
      <sz val="11"/>
      <color indexed="81"/>
      <name val="Tahoma"/>
      <family val="2"/>
    </font>
    <font>
      <b/>
      <sz val="9"/>
      <name val="Arial"/>
      <family val="2"/>
    </font>
    <font>
      <sz val="9"/>
      <name val="Arial"/>
      <family val="2"/>
    </font>
    <font>
      <vertAlign val="subscript"/>
      <sz val="9"/>
      <name val="Cambria"/>
      <family val="1"/>
    </font>
    <font>
      <sz val="9"/>
      <name val="Cambria"/>
      <family val="1"/>
    </font>
    <font>
      <sz val="9"/>
      <name val="Calibri"/>
      <family val="2"/>
    </font>
    <font>
      <vertAlign val="superscript"/>
      <sz val="9"/>
      <name val="Arial"/>
      <family val="2"/>
    </font>
    <font>
      <i/>
      <sz val="9"/>
      <name val="Arial"/>
      <family val="2"/>
    </font>
    <font>
      <vertAlign val="subscript"/>
      <sz val="9"/>
      <name val="Arial"/>
      <family val="2"/>
    </font>
    <font>
      <b/>
      <sz val="10"/>
      <color rgb="FF000000"/>
      <name val="Arial"/>
      <family val="2"/>
    </font>
    <font>
      <b/>
      <sz val="12"/>
      <color rgb="FF6D6D6D"/>
      <name val="Myriad Pro Light"/>
      <family val="2"/>
    </font>
    <font>
      <b/>
      <sz val="8"/>
      <color rgb="FFFF0000"/>
      <name val="Arial"/>
      <family val="2"/>
    </font>
    <font>
      <b/>
      <vertAlign val="superscript"/>
      <sz val="10"/>
      <name val="Arial"/>
      <family val="2"/>
    </font>
    <font>
      <b/>
      <sz val="10"/>
      <name val="Calibri"/>
      <family val="2"/>
      <scheme val="minor"/>
    </font>
    <font>
      <b/>
      <sz val="12"/>
      <name val="Calibri"/>
      <family val="2"/>
      <scheme val="minor"/>
    </font>
    <font>
      <b/>
      <vertAlign val="superscript"/>
      <sz val="12"/>
      <name val="Calibri"/>
      <family val="2"/>
      <scheme val="minor"/>
    </font>
    <font>
      <b/>
      <sz val="12"/>
      <color rgb="FFFF0000"/>
      <name val="Calibri"/>
      <family val="2"/>
      <scheme val="minor"/>
    </font>
    <font>
      <b/>
      <sz val="12"/>
      <color rgb="FF2004EC"/>
      <name val="Calibri"/>
      <family val="2"/>
      <scheme val="minor"/>
    </font>
    <font>
      <b/>
      <sz val="11"/>
      <color rgb="FF2004EC"/>
      <name val="Calibri"/>
      <family val="2"/>
      <scheme val="minor"/>
    </font>
    <font>
      <sz val="10"/>
      <name val="Calibri"/>
      <family val="2"/>
      <scheme val="minor"/>
    </font>
    <font>
      <sz val="12"/>
      <name val="Calibri"/>
      <family val="2"/>
      <scheme val="minor"/>
    </font>
    <font>
      <b/>
      <sz val="11"/>
      <color rgb="FFFF0000"/>
      <name val="Calibri"/>
      <family val="2"/>
      <scheme val="minor"/>
    </font>
    <font>
      <b/>
      <sz val="20"/>
      <name val="Calibri"/>
      <family val="2"/>
      <scheme val="minor"/>
    </font>
    <font>
      <sz val="20"/>
      <color rgb="FF00B050"/>
      <name val="Calibri"/>
      <family val="2"/>
      <scheme val="minor"/>
    </font>
    <font>
      <b/>
      <sz val="11"/>
      <name val="Calibri"/>
      <family val="2"/>
      <scheme val="minor"/>
    </font>
    <font>
      <b/>
      <sz val="10"/>
      <color rgb="FF2004EC"/>
      <name val="Calibri"/>
      <family val="2"/>
      <scheme val="minor"/>
    </font>
    <font>
      <b/>
      <sz val="10"/>
      <color indexed="10"/>
      <name val="Calibri"/>
      <family val="2"/>
      <scheme val="minor"/>
    </font>
    <font>
      <b/>
      <sz val="10"/>
      <color indexed="8"/>
      <name val="Calibri"/>
      <family val="2"/>
      <scheme val="minor"/>
    </font>
    <font>
      <b/>
      <sz val="8"/>
      <name val="Calibri"/>
      <family val="2"/>
      <scheme val="minor"/>
    </font>
    <font>
      <b/>
      <sz val="10"/>
      <color indexed="12"/>
      <name val="Calibri"/>
      <family val="2"/>
      <scheme val="minor"/>
    </font>
    <font>
      <b/>
      <vertAlign val="superscript"/>
      <sz val="10"/>
      <name val="Calibri"/>
      <family val="2"/>
      <scheme val="minor"/>
    </font>
    <font>
      <vertAlign val="superscript"/>
      <sz val="10"/>
      <name val="Calibri"/>
      <family val="2"/>
      <scheme val="minor"/>
    </font>
    <font>
      <b/>
      <vertAlign val="subscript"/>
      <sz val="10"/>
      <name val="Calibri"/>
      <family val="2"/>
      <scheme val="minor"/>
    </font>
    <font>
      <sz val="10"/>
      <color theme="3" tint="0.3999755851924192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9" fontId="1" fillId="0" borderId="0" applyFont="0" applyFill="0" applyBorder="0" applyAlignment="0" applyProtection="0"/>
  </cellStyleXfs>
  <cellXfs count="356">
    <xf numFmtId="0" fontId="0" fillId="0" borderId="0" xfId="0"/>
    <xf numFmtId="0" fontId="2" fillId="2" borderId="0" xfId="0" applyFont="1" applyFill="1" applyBorder="1" applyProtection="1"/>
    <xf numFmtId="0" fontId="2" fillId="2" borderId="0" xfId="0" applyFont="1" applyFill="1" applyBorder="1" applyAlignment="1" applyProtection="1">
      <alignment horizontal="left"/>
    </xf>
    <xf numFmtId="0" fontId="2" fillId="3" borderId="0" xfId="0" applyFont="1" applyFill="1" applyBorder="1" applyAlignment="1" applyProtection="1">
      <alignment horizontal="center" wrapText="1"/>
    </xf>
    <xf numFmtId="0" fontId="2" fillId="3" borderId="0" xfId="0" applyFont="1" applyFill="1" applyBorder="1"/>
    <xf numFmtId="0" fontId="2" fillId="3" borderId="7" xfId="0" applyFont="1" applyFill="1" applyBorder="1" applyAlignment="1">
      <alignment horizontal="center"/>
    </xf>
    <xf numFmtId="0" fontId="2" fillId="3" borderId="7" xfId="0" applyFont="1" applyFill="1" applyBorder="1" applyAlignment="1" applyProtection="1">
      <alignment horizontal="center"/>
    </xf>
    <xf numFmtId="0" fontId="2" fillId="3" borderId="7" xfId="0" applyFont="1" applyFill="1" applyBorder="1"/>
    <xf numFmtId="0" fontId="1" fillId="3" borderId="0" xfId="1" applyFill="1"/>
    <xf numFmtId="0" fontId="1" fillId="3" borderId="0" xfId="1" applyFont="1" applyFill="1"/>
    <xf numFmtId="0" fontId="1" fillId="3" borderId="0" xfId="1" applyFont="1" applyFill="1" applyAlignment="1">
      <alignment wrapText="1"/>
    </xf>
    <xf numFmtId="0" fontId="1" fillId="3" borderId="0" xfId="1" applyFill="1" applyAlignment="1">
      <alignment horizontal="center"/>
    </xf>
    <xf numFmtId="0" fontId="0" fillId="3" borderId="0" xfId="1" applyFont="1" applyFill="1"/>
    <xf numFmtId="0" fontId="7" fillId="3" borderId="0" xfId="1" applyFont="1" applyFill="1"/>
    <xf numFmtId="0" fontId="1" fillId="3" borderId="7" xfId="1" applyFill="1" applyBorder="1" applyAlignment="1">
      <alignment horizontal="center"/>
    </xf>
    <xf numFmtId="0" fontId="2" fillId="3" borderId="7" xfId="1" applyFont="1" applyFill="1" applyBorder="1" applyAlignment="1">
      <alignment horizontal="center"/>
    </xf>
    <xf numFmtId="0" fontId="2" fillId="3" borderId="1" xfId="1" applyFont="1" applyFill="1" applyBorder="1"/>
    <xf numFmtId="0" fontId="2" fillId="3" borderId="1" xfId="1" applyFont="1" applyFill="1" applyBorder="1" applyAlignment="1">
      <alignment horizontal="center"/>
    </xf>
    <xf numFmtId="0" fontId="1" fillId="3" borderId="0" xfId="1" applyFont="1" applyFill="1" applyAlignment="1">
      <alignment horizontal="center"/>
    </xf>
    <xf numFmtId="0" fontId="8" fillId="3" borderId="0" xfId="1" applyFont="1" applyFill="1" applyAlignment="1">
      <alignment horizontal="center"/>
    </xf>
    <xf numFmtId="0" fontId="2" fillId="3" borderId="0" xfId="1" applyFont="1" applyFill="1" applyAlignment="1">
      <alignment horizontal="center"/>
    </xf>
    <xf numFmtId="0" fontId="2" fillId="3" borderId="0" xfId="1" applyFont="1" applyFill="1"/>
    <xf numFmtId="0" fontId="8" fillId="3" borderId="0" xfId="1" applyFont="1" applyFill="1"/>
    <xf numFmtId="11" fontId="1" fillId="3" borderId="0" xfId="1" applyNumberFormat="1" applyFill="1" applyAlignment="1">
      <alignment horizontal="center"/>
    </xf>
    <xf numFmtId="0" fontId="1" fillId="3" borderId="6" xfId="1" applyFill="1" applyBorder="1"/>
    <xf numFmtId="0" fontId="1" fillId="3" borderId="13" xfId="1" applyFill="1" applyBorder="1" applyAlignment="1">
      <alignment horizontal="center"/>
    </xf>
    <xf numFmtId="0" fontId="1" fillId="3" borderId="14" xfId="1" applyFill="1" applyBorder="1" applyAlignment="1">
      <alignment horizontal="center"/>
    </xf>
    <xf numFmtId="0" fontId="1" fillId="3" borderId="13" xfId="1" applyFill="1" applyBorder="1"/>
    <xf numFmtId="0" fontId="1" fillId="3" borderId="14" xfId="1" applyFill="1" applyBorder="1"/>
    <xf numFmtId="2" fontId="1" fillId="3" borderId="13" xfId="1" applyNumberFormat="1" applyFill="1" applyBorder="1" applyAlignment="1">
      <alignment horizontal="center"/>
    </xf>
    <xf numFmtId="0" fontId="1" fillId="3" borderId="2" xfId="1" applyFill="1" applyBorder="1"/>
    <xf numFmtId="0" fontId="1" fillId="3" borderId="3" xfId="1" applyFill="1" applyBorder="1"/>
    <xf numFmtId="168" fontId="1" fillId="3" borderId="13" xfId="1" applyNumberFormat="1" applyFill="1" applyBorder="1" applyAlignment="1">
      <alignment horizontal="center"/>
    </xf>
    <xf numFmtId="9" fontId="1" fillId="3" borderId="0" xfId="1" applyNumberFormat="1" applyFill="1" applyAlignment="1">
      <alignment horizontal="center"/>
    </xf>
    <xf numFmtId="0" fontId="0" fillId="3" borderId="0" xfId="1" applyFont="1" applyFill="1" applyAlignment="1">
      <alignment horizontal="left"/>
    </xf>
    <xf numFmtId="0" fontId="2" fillId="3" borderId="4" xfId="1" applyFont="1" applyFill="1" applyBorder="1" applyAlignment="1">
      <alignment horizontal="center"/>
    </xf>
    <xf numFmtId="0" fontId="2" fillId="3" borderId="6" xfId="1" applyFont="1" applyFill="1" applyBorder="1"/>
    <xf numFmtId="0" fontId="2" fillId="3" borderId="4" xfId="1" applyFont="1" applyFill="1" applyBorder="1"/>
    <xf numFmtId="0" fontId="2" fillId="3" borderId="13" xfId="1" applyFont="1" applyFill="1" applyBorder="1" applyAlignment="1">
      <alignment horizontal="center"/>
    </xf>
    <xf numFmtId="0" fontId="2" fillId="3" borderId="14" xfId="1" applyFont="1" applyFill="1" applyBorder="1" applyAlignment="1">
      <alignment horizontal="center"/>
    </xf>
    <xf numFmtId="0" fontId="0" fillId="3" borderId="0" xfId="1" applyFont="1" applyFill="1" applyAlignment="1">
      <alignment wrapText="1"/>
    </xf>
    <xf numFmtId="0" fontId="3" fillId="2" borderId="0" xfId="0" applyFont="1" applyFill="1" applyBorder="1" applyProtection="1"/>
    <xf numFmtId="0" fontId="12" fillId="0" borderId="0" xfId="0" applyFont="1"/>
    <xf numFmtId="0" fontId="2" fillId="3" borderId="7" xfId="0" applyFont="1" applyFill="1" applyBorder="1" applyAlignment="1" applyProtection="1">
      <alignment horizontal="center"/>
      <protection locked="0"/>
    </xf>
    <xf numFmtId="0" fontId="16" fillId="0" borderId="0" xfId="0" applyFont="1" applyProtection="1"/>
    <xf numFmtId="0" fontId="15" fillId="0" borderId="0" xfId="0" applyFont="1" applyAlignment="1" applyProtection="1">
      <alignment vertical="center"/>
    </xf>
    <xf numFmtId="0" fontId="16" fillId="0" borderId="0" xfId="0" applyFont="1" applyAlignment="1" applyProtection="1">
      <alignment vertical="center"/>
    </xf>
    <xf numFmtId="0" fontId="15" fillId="0" borderId="7" xfId="0" applyFont="1" applyBorder="1" applyAlignment="1" applyProtection="1">
      <alignment horizontal="center" vertical="center"/>
    </xf>
    <xf numFmtId="0" fontId="16" fillId="0" borderId="7" xfId="0" applyFont="1" applyBorder="1" applyAlignment="1" applyProtection="1">
      <alignment vertical="center"/>
    </xf>
    <xf numFmtId="0" fontId="17" fillId="0" borderId="7" xfId="0" applyFont="1" applyBorder="1" applyAlignment="1" applyProtection="1">
      <alignment horizontal="center" vertical="center"/>
    </xf>
    <xf numFmtId="0" fontId="16" fillId="0" borderId="7" xfId="0" applyFont="1" applyBorder="1" applyAlignment="1" applyProtection="1">
      <alignment horizontal="center" vertical="center"/>
    </xf>
    <xf numFmtId="0" fontId="21" fillId="0" borderId="7" xfId="0" applyFont="1" applyBorder="1" applyAlignment="1" applyProtection="1">
      <alignment vertical="center"/>
    </xf>
    <xf numFmtId="0" fontId="18" fillId="0" borderId="7" xfId="0" applyFont="1" applyBorder="1" applyAlignment="1" applyProtection="1">
      <alignment horizontal="center" vertical="center"/>
    </xf>
    <xf numFmtId="0" fontId="16" fillId="0" borderId="7" xfId="0" applyFont="1" applyBorder="1" applyAlignment="1" applyProtection="1">
      <alignment horizontal="left" vertical="center"/>
    </xf>
    <xf numFmtId="0" fontId="16" fillId="0" borderId="7" xfId="0" quotePrefix="1" applyFont="1" applyBorder="1" applyAlignment="1" applyProtection="1">
      <alignment horizontal="center" vertical="center"/>
    </xf>
    <xf numFmtId="0" fontId="19" fillId="0" borderId="7" xfId="0" applyFont="1" applyBorder="1" applyAlignment="1" applyProtection="1">
      <alignment horizontal="center" vertical="center"/>
    </xf>
    <xf numFmtId="0" fontId="16" fillId="0" borderId="0" xfId="0" applyFont="1" applyAlignment="1" applyProtection="1">
      <alignment horizontal="right"/>
    </xf>
    <xf numFmtId="0" fontId="16" fillId="0" borderId="0" xfId="0" applyFont="1" applyBorder="1" applyProtection="1"/>
    <xf numFmtId="0" fontId="16" fillId="0" borderId="0" xfId="0" applyFont="1" applyAlignment="1" applyProtection="1">
      <alignment horizontal="right" vertical="center"/>
    </xf>
    <xf numFmtId="0" fontId="4" fillId="0" borderId="7" xfId="0" applyFont="1" applyBorder="1" applyAlignment="1" applyProtection="1">
      <alignment horizontal="center" vertical="top"/>
    </xf>
    <xf numFmtId="0" fontId="16" fillId="0" borderId="7" xfId="0" applyFont="1" applyBorder="1" applyAlignment="1" applyProtection="1">
      <alignment horizontal="center"/>
    </xf>
    <xf numFmtId="0" fontId="16" fillId="0" borderId="7" xfId="0" applyFont="1" applyBorder="1" applyAlignment="1" applyProtection="1">
      <alignment horizontal="center" vertical="center"/>
    </xf>
    <xf numFmtId="0" fontId="16" fillId="0" borderId="0" xfId="0" applyFont="1" applyAlignment="1" applyProtection="1">
      <alignment vertical="center"/>
    </xf>
    <xf numFmtId="0" fontId="0" fillId="2" borderId="0" xfId="0" applyFill="1"/>
    <xf numFmtId="0" fontId="3" fillId="2" borderId="0" xfId="0" applyFont="1" applyFill="1"/>
    <xf numFmtId="0" fontId="2" fillId="2" borderId="0" xfId="0" applyFont="1" applyFill="1"/>
    <xf numFmtId="0" fontId="2" fillId="2" borderId="0" xfId="0" applyFont="1" applyFill="1" applyBorder="1" applyAlignment="1">
      <alignment horizontal="center"/>
    </xf>
    <xf numFmtId="0" fontId="25" fillId="2" borderId="0" xfId="0" applyFont="1" applyFill="1" applyBorder="1" applyAlignment="1">
      <alignment vertical="center"/>
    </xf>
    <xf numFmtId="0" fontId="0" fillId="2" borderId="0" xfId="0" applyFill="1" applyBorder="1"/>
    <xf numFmtId="0" fontId="2" fillId="2" borderId="0" xfId="0" applyNumberFormat="1" applyFont="1" applyFill="1" applyBorder="1" applyAlignment="1" applyProtection="1">
      <alignment horizontal="left"/>
    </xf>
    <xf numFmtId="0" fontId="2" fillId="3" borderId="4" xfId="0" applyFont="1" applyFill="1" applyBorder="1" applyAlignment="1" applyProtection="1">
      <alignment horizontal="center" wrapText="1"/>
    </xf>
    <xf numFmtId="0" fontId="2" fillId="3" borderId="5" xfId="0" applyFont="1" applyFill="1" applyBorder="1" applyAlignment="1" applyProtection="1">
      <alignment horizontal="center" wrapText="1"/>
    </xf>
    <xf numFmtId="0" fontId="2" fillId="3" borderId="5" xfId="0" applyFont="1" applyFill="1" applyBorder="1" applyAlignment="1">
      <alignment horizontal="center" wrapText="1"/>
    </xf>
    <xf numFmtId="2" fontId="2" fillId="0" borderId="4" xfId="0" applyNumberFormat="1" applyFont="1" applyBorder="1" applyAlignment="1" applyProtection="1">
      <alignment horizontal="center"/>
    </xf>
    <xf numFmtId="166" fontId="2" fillId="0" borderId="5" xfId="0" applyNumberFormat="1" applyFont="1" applyBorder="1" applyAlignment="1" applyProtection="1">
      <alignment horizontal="center"/>
    </xf>
    <xf numFmtId="2" fontId="2" fillId="0" borderId="5" xfId="0" applyNumberFormat="1" applyFont="1" applyBorder="1" applyAlignment="1" applyProtection="1">
      <alignment horizontal="center" wrapText="1"/>
    </xf>
    <xf numFmtId="11" fontId="2" fillId="0" borderId="5" xfId="0" applyNumberFormat="1" applyFont="1" applyBorder="1" applyAlignment="1" applyProtection="1">
      <alignment horizontal="center"/>
    </xf>
    <xf numFmtId="168" fontId="2" fillId="0" borderId="5" xfId="0" applyNumberFormat="1" applyFont="1" applyBorder="1" applyAlignment="1">
      <alignment horizontal="center"/>
    </xf>
    <xf numFmtId="0" fontId="2" fillId="3" borderId="12" xfId="0" applyFont="1" applyFill="1" applyBorder="1" applyAlignment="1" applyProtection="1">
      <alignment horizontal="center" wrapText="1"/>
    </xf>
    <xf numFmtId="0" fontId="0" fillId="2" borderId="1" xfId="0" applyFill="1" applyBorder="1"/>
    <xf numFmtId="0" fontId="3" fillId="3" borderId="0" xfId="0" applyFont="1" applyFill="1" applyProtection="1"/>
    <xf numFmtId="0" fontId="0" fillId="3" borderId="0" xfId="0" applyFill="1" applyProtection="1"/>
    <xf numFmtId="0" fontId="2" fillId="4" borderId="7" xfId="0" applyFont="1" applyFill="1" applyBorder="1" applyAlignment="1" applyProtection="1">
      <alignment horizontal="center"/>
    </xf>
    <xf numFmtId="9" fontId="2" fillId="4" borderId="7" xfId="2" applyFont="1" applyFill="1" applyBorder="1" applyAlignment="1" applyProtection="1">
      <alignment horizontal="center"/>
    </xf>
    <xf numFmtId="0" fontId="0" fillId="3" borderId="0" xfId="0" applyFill="1" applyBorder="1" applyProtection="1"/>
    <xf numFmtId="0" fontId="0" fillId="3" borderId="7" xfId="0" applyFill="1" applyBorder="1" applyProtection="1"/>
    <xf numFmtId="0" fontId="2" fillId="4" borderId="7" xfId="0" applyFont="1" applyFill="1" applyBorder="1" applyAlignment="1" applyProtection="1">
      <alignment horizontal="center" wrapText="1"/>
    </xf>
    <xf numFmtId="0" fontId="0" fillId="3" borderId="7" xfId="0" applyFill="1" applyBorder="1" applyAlignment="1" applyProtection="1">
      <alignment horizontal="center"/>
      <protection locked="0"/>
    </xf>
    <xf numFmtId="11" fontId="0" fillId="3" borderId="7" xfId="0" applyNumberFormat="1" applyFill="1" applyBorder="1" applyAlignment="1" applyProtection="1">
      <alignment horizontal="center"/>
      <protection locked="0"/>
    </xf>
    <xf numFmtId="9" fontId="0" fillId="3" borderId="7" xfId="0" applyNumberFormat="1" applyFill="1" applyBorder="1" applyAlignment="1" applyProtection="1">
      <alignment horizontal="center"/>
      <protection locked="0"/>
    </xf>
    <xf numFmtId="0" fontId="0" fillId="3" borderId="7" xfId="0" applyFill="1" applyBorder="1" applyAlignment="1" applyProtection="1">
      <alignment horizontal="center"/>
    </xf>
    <xf numFmtId="11" fontId="0" fillId="3" borderId="7" xfId="0" applyNumberFormat="1" applyFill="1" applyBorder="1" applyAlignment="1" applyProtection="1">
      <alignment horizontal="center"/>
    </xf>
    <xf numFmtId="9" fontId="0" fillId="3" borderId="7" xfId="0" applyNumberFormat="1" applyFill="1" applyBorder="1" applyAlignment="1" applyProtection="1">
      <alignment horizontal="center"/>
    </xf>
    <xf numFmtId="0" fontId="13" fillId="2" borderId="7" xfId="0" applyFont="1" applyFill="1" applyBorder="1" applyAlignment="1" applyProtection="1">
      <alignment horizontal="center"/>
      <protection locked="0"/>
    </xf>
    <xf numFmtId="0" fontId="27" fillId="0" borderId="0" xfId="0" applyFont="1"/>
    <xf numFmtId="0" fontId="27" fillId="0" borderId="0" xfId="0" applyFont="1" applyFill="1" applyBorder="1" applyAlignment="1" applyProtection="1">
      <alignment horizontal="center" wrapText="1"/>
    </xf>
    <xf numFmtId="0" fontId="27" fillId="0" borderId="0" xfId="0" applyFont="1" applyProtection="1"/>
    <xf numFmtId="0" fontId="28" fillId="0" borderId="0" xfId="0" applyFont="1"/>
    <xf numFmtId="0" fontId="27" fillId="0" borderId="0" xfId="0" applyFont="1" applyBorder="1" applyProtection="1"/>
    <xf numFmtId="0" fontId="27" fillId="0" borderId="0" xfId="0" applyFont="1" applyFill="1" applyBorder="1" applyAlignment="1" applyProtection="1">
      <alignment horizontal="center" vertical="top" wrapText="1"/>
    </xf>
    <xf numFmtId="0" fontId="27" fillId="0" borderId="0" xfId="0" applyFont="1" applyBorder="1"/>
    <xf numFmtId="0" fontId="27" fillId="0" borderId="0" xfId="0" applyFont="1" applyBorder="1" applyAlignment="1">
      <alignment horizontal="center"/>
    </xf>
    <xf numFmtId="49" fontId="27" fillId="0" borderId="0" xfId="0" applyNumberFormat="1" applyFont="1" applyBorder="1" applyAlignment="1" applyProtection="1">
      <alignment horizontal="left"/>
    </xf>
    <xf numFmtId="0" fontId="27" fillId="2" borderId="0" xfId="0" applyFont="1" applyFill="1" applyBorder="1" applyAlignment="1" applyProtection="1">
      <alignment horizontal="left"/>
    </xf>
    <xf numFmtId="0" fontId="27" fillId="2" borderId="0" xfId="0" applyFont="1" applyFill="1" applyBorder="1" applyProtection="1"/>
    <xf numFmtId="0" fontId="27" fillId="0" borderId="0" xfId="0" applyFont="1" applyBorder="1" applyAlignment="1" applyProtection="1">
      <alignment horizontal="left"/>
    </xf>
    <xf numFmtId="14" fontId="27" fillId="0" borderId="0" xfId="0" applyNumberFormat="1" applyFont="1" applyBorder="1" applyAlignment="1" applyProtection="1">
      <alignment horizontal="centerContinuous"/>
    </xf>
    <xf numFmtId="0" fontId="27" fillId="0" borderId="0" xfId="0" applyFont="1" applyBorder="1" applyAlignment="1" applyProtection="1">
      <alignment horizontal="center"/>
    </xf>
    <xf numFmtId="0" fontId="27" fillId="0" borderId="0" xfId="0" applyFont="1" applyBorder="1" applyAlignment="1" applyProtection="1">
      <alignment horizontal="centerContinuous"/>
    </xf>
    <xf numFmtId="16" fontId="27" fillId="0" borderId="0" xfId="0" applyNumberFormat="1" applyFont="1" applyBorder="1" applyProtection="1"/>
    <xf numFmtId="0" fontId="28" fillId="2" borderId="0" xfId="0" applyFont="1" applyFill="1" applyBorder="1" applyProtection="1"/>
    <xf numFmtId="0" fontId="28" fillId="2" borderId="0" xfId="0" applyFont="1" applyFill="1" applyBorder="1" applyAlignment="1" applyProtection="1">
      <alignment horizontal="left"/>
    </xf>
    <xf numFmtId="0" fontId="28" fillId="0" borderId="0" xfId="0" applyFont="1" applyBorder="1"/>
    <xf numFmtId="0" fontId="27" fillId="0" borderId="0" xfId="0" applyFont="1" applyFill="1" applyBorder="1" applyProtection="1"/>
    <xf numFmtId="0" fontId="28" fillId="3" borderId="4" xfId="0" applyFont="1" applyFill="1" applyBorder="1" applyAlignment="1" applyProtection="1">
      <alignment horizontal="center" wrapText="1"/>
    </xf>
    <xf numFmtId="0" fontId="28" fillId="3" borderId="5" xfId="0" applyFont="1" applyFill="1" applyBorder="1" applyAlignment="1" applyProtection="1">
      <alignment horizontal="center" wrapText="1"/>
    </xf>
    <xf numFmtId="0" fontId="28" fillId="3" borderId="6" xfId="0" applyFont="1" applyFill="1" applyBorder="1" applyAlignment="1" applyProtection="1">
      <alignment horizontal="center" wrapText="1"/>
    </xf>
    <xf numFmtId="16" fontId="28" fillId="3" borderId="5" xfId="0" applyNumberFormat="1" applyFont="1" applyFill="1" applyBorder="1" applyAlignment="1" applyProtection="1">
      <alignment horizontal="center" wrapText="1"/>
    </xf>
    <xf numFmtId="16" fontId="28" fillId="3" borderId="10" xfId="0" applyNumberFormat="1" applyFont="1" applyFill="1" applyBorder="1" applyAlignment="1" applyProtection="1">
      <alignment horizontal="center" wrapText="1"/>
    </xf>
    <xf numFmtId="16" fontId="31" fillId="0" borderId="2" xfId="0" applyNumberFormat="1" applyFont="1" applyBorder="1" applyAlignment="1" applyProtection="1">
      <alignment horizontal="center"/>
      <protection locked="0"/>
    </xf>
    <xf numFmtId="0" fontId="31" fillId="0" borderId="1" xfId="0" applyFont="1" applyBorder="1" applyAlignment="1" applyProtection="1">
      <alignment horizontal="center"/>
      <protection locked="0"/>
    </xf>
    <xf numFmtId="166" fontId="31" fillId="0" borderId="1" xfId="0" applyNumberFormat="1" applyFont="1" applyBorder="1" applyAlignment="1" applyProtection="1">
      <alignment horizontal="center"/>
      <protection locked="0"/>
    </xf>
    <xf numFmtId="0" fontId="31" fillId="0" borderId="3" xfId="0" applyFont="1" applyBorder="1" applyAlignment="1" applyProtection="1">
      <alignment horizontal="center"/>
      <protection locked="0"/>
    </xf>
    <xf numFmtId="2" fontId="31" fillId="0" borderId="4" xfId="0" applyNumberFormat="1" applyFont="1" applyBorder="1" applyAlignment="1" applyProtection="1">
      <alignment horizontal="center"/>
      <protection locked="0"/>
    </xf>
    <xf numFmtId="167" fontId="31" fillId="0" borderId="5" xfId="0" applyNumberFormat="1" applyFont="1" applyBorder="1" applyAlignment="1" applyProtection="1">
      <alignment horizontal="center"/>
      <protection locked="0"/>
    </xf>
    <xf numFmtId="1" fontId="31" fillId="0" borderId="5" xfId="0" applyNumberFormat="1" applyFont="1" applyBorder="1" applyAlignment="1" applyProtection="1">
      <alignment horizontal="center"/>
      <protection locked="0"/>
    </xf>
    <xf numFmtId="0" fontId="32" fillId="2" borderId="6" xfId="0" applyFont="1" applyFill="1" applyBorder="1" applyAlignment="1" applyProtection="1">
      <alignment horizontal="center"/>
      <protection locked="0"/>
    </xf>
    <xf numFmtId="14" fontId="28" fillId="0" borderId="5" xfId="0" applyNumberFormat="1" applyFont="1" applyBorder="1" applyAlignment="1" applyProtection="1">
      <alignment horizontal="center"/>
    </xf>
    <xf numFmtId="21" fontId="28" fillId="0" borderId="5" xfId="0" applyNumberFormat="1" applyFont="1" applyBorder="1" applyAlignment="1" applyProtection="1">
      <alignment horizontal="center"/>
    </xf>
    <xf numFmtId="0" fontId="28" fillId="0" borderId="5" xfId="0" applyFont="1" applyBorder="1" applyAlignment="1" applyProtection="1">
      <alignment horizontal="center"/>
    </xf>
    <xf numFmtId="0" fontId="33" fillId="0" borderId="0" xfId="0" applyFont="1" applyBorder="1"/>
    <xf numFmtId="0" fontId="33" fillId="0" borderId="0" xfId="0" applyFont="1" applyBorder="1" applyProtection="1"/>
    <xf numFmtId="0" fontId="33" fillId="0" borderId="0" xfId="0" applyFont="1"/>
    <xf numFmtId="0" fontId="27" fillId="2" borderId="0" xfId="0" applyFont="1" applyFill="1" applyBorder="1" applyAlignment="1" applyProtection="1">
      <alignment horizontal="centerContinuous" wrapText="1"/>
    </xf>
    <xf numFmtId="0" fontId="27" fillId="2" borderId="0" xfId="0" applyFont="1" applyFill="1" applyBorder="1" applyAlignment="1" applyProtection="1">
      <alignment horizontal="centerContinuous"/>
    </xf>
    <xf numFmtId="0" fontId="30" fillId="0" borderId="0" xfId="0" applyFont="1"/>
    <xf numFmtId="0" fontId="28" fillId="3" borderId="5" xfId="0" applyFont="1" applyFill="1" applyBorder="1" applyAlignment="1">
      <alignment horizontal="center" wrapText="1"/>
    </xf>
    <xf numFmtId="2" fontId="28" fillId="0" borderId="4" xfId="0" applyNumberFormat="1" applyFont="1" applyBorder="1" applyAlignment="1" applyProtection="1">
      <alignment horizontal="center"/>
    </xf>
    <xf numFmtId="166" fontId="28" fillId="0" borderId="5" xfId="0" applyNumberFormat="1" applyFont="1" applyBorder="1" applyAlignment="1" applyProtection="1">
      <alignment horizontal="center"/>
    </xf>
    <xf numFmtId="2" fontId="28" fillId="0" borderId="5" xfId="0" applyNumberFormat="1" applyFont="1" applyBorder="1" applyAlignment="1" applyProtection="1">
      <alignment horizontal="center" wrapText="1"/>
    </xf>
    <xf numFmtId="11" fontId="28" fillId="0" borderId="5" xfId="0" applyNumberFormat="1" applyFont="1" applyBorder="1" applyAlignment="1" applyProtection="1">
      <alignment horizontal="center"/>
    </xf>
    <xf numFmtId="167" fontId="28" fillId="0" borderId="5" xfId="0" applyNumberFormat="1" applyFont="1" applyBorder="1" applyAlignment="1" applyProtection="1">
      <alignment horizontal="center"/>
    </xf>
    <xf numFmtId="168" fontId="28" fillId="0" borderId="5" xfId="0" applyNumberFormat="1" applyFont="1" applyBorder="1" applyAlignment="1">
      <alignment horizontal="center"/>
    </xf>
    <xf numFmtId="0" fontId="33" fillId="0" borderId="0" xfId="0" applyFont="1" applyBorder="1" applyAlignment="1"/>
    <xf numFmtId="0" fontId="33" fillId="0" borderId="0" xfId="0" applyFont="1" applyProtection="1"/>
    <xf numFmtId="0" fontId="27" fillId="0" borderId="0" xfId="0" applyFont="1" applyBorder="1" applyAlignment="1" applyProtection="1">
      <alignment wrapText="1"/>
    </xf>
    <xf numFmtId="16" fontId="33" fillId="0" borderId="0" xfId="0" applyNumberFormat="1" applyFont="1" applyBorder="1" applyProtection="1"/>
    <xf numFmtId="167" fontId="33" fillId="0" borderId="0" xfId="0" applyNumberFormat="1" applyFont="1" applyBorder="1" applyProtection="1"/>
    <xf numFmtId="2" fontId="33" fillId="0" borderId="0" xfId="0" applyNumberFormat="1" applyFont="1" applyBorder="1" applyProtection="1"/>
    <xf numFmtId="167" fontId="27" fillId="0" borderId="0" xfId="0" applyNumberFormat="1" applyFont="1" applyBorder="1" applyProtection="1"/>
    <xf numFmtId="2" fontId="27" fillId="0" borderId="0" xfId="0" applyNumberFormat="1" applyFont="1" applyBorder="1" applyProtection="1"/>
    <xf numFmtId="0" fontId="27" fillId="0" borderId="0" xfId="0" applyFont="1" applyAlignment="1">
      <alignment horizontal="right"/>
    </xf>
    <xf numFmtId="11" fontId="27" fillId="0" borderId="0" xfId="0" applyNumberFormat="1" applyFont="1"/>
    <xf numFmtId="0" fontId="28" fillId="3" borderId="0" xfId="0" applyFont="1" applyFill="1" applyBorder="1"/>
    <xf numFmtId="0" fontId="27" fillId="3" borderId="0" xfId="0" applyFont="1" applyFill="1" applyBorder="1"/>
    <xf numFmtId="0" fontId="38" fillId="3" borderId="0" xfId="0" applyFont="1" applyFill="1" applyBorder="1"/>
    <xf numFmtId="0" fontId="27" fillId="3" borderId="7" xfId="0" applyFont="1" applyFill="1" applyBorder="1" applyAlignment="1">
      <alignment horizontal="center"/>
    </xf>
    <xf numFmtId="0" fontId="27" fillId="3" borderId="7" xfId="0" applyFont="1" applyFill="1" applyBorder="1" applyAlignment="1" applyProtection="1">
      <alignment horizontal="center"/>
      <protection locked="0"/>
    </xf>
    <xf numFmtId="0" fontId="39" fillId="3" borderId="7" xfId="0" applyFont="1" applyFill="1" applyBorder="1" applyProtection="1">
      <protection locked="0"/>
    </xf>
    <xf numFmtId="165" fontId="33" fillId="3" borderId="7" xfId="0" applyNumberFormat="1" applyFont="1" applyFill="1" applyBorder="1" applyAlignment="1">
      <alignment horizontal="center"/>
    </xf>
    <xf numFmtId="165" fontId="33" fillId="3" borderId="0" xfId="0" applyNumberFormat="1" applyFont="1" applyFill="1" applyBorder="1" applyAlignment="1"/>
    <xf numFmtId="0" fontId="27" fillId="3" borderId="7" xfId="0" applyFont="1" applyFill="1" applyBorder="1" applyAlignment="1" applyProtection="1">
      <alignment horizontal="center" wrapText="1"/>
    </xf>
    <xf numFmtId="11" fontId="27" fillId="3" borderId="7" xfId="0" applyNumberFormat="1" applyFont="1" applyFill="1" applyBorder="1" applyAlignment="1" applyProtection="1">
      <alignment horizontal="center"/>
      <protection locked="0"/>
    </xf>
    <xf numFmtId="164" fontId="27" fillId="3" borderId="7" xfId="0" applyNumberFormat="1" applyFont="1" applyFill="1" applyBorder="1" applyAlignment="1" applyProtection="1">
      <alignment horizontal="center"/>
      <protection locked="0"/>
    </xf>
    <xf numFmtId="0" fontId="27" fillId="3" borderId="7" xfId="0" applyFont="1" applyFill="1" applyBorder="1" applyAlignment="1" applyProtection="1">
      <alignment horizontal="center"/>
    </xf>
    <xf numFmtId="0" fontId="39" fillId="3" borderId="11" xfId="0" applyFont="1" applyFill="1" applyBorder="1" applyProtection="1">
      <protection locked="0"/>
    </xf>
    <xf numFmtId="0" fontId="39" fillId="3" borderId="8" xfId="0" applyFont="1" applyFill="1" applyBorder="1"/>
    <xf numFmtId="164" fontId="27" fillId="3" borderId="7" xfId="0" applyNumberFormat="1" applyFont="1" applyFill="1" applyBorder="1" applyAlignment="1" applyProtection="1">
      <alignment horizontal="center"/>
    </xf>
    <xf numFmtId="0" fontId="27" fillId="3" borderId="0" xfId="0" applyFont="1" applyFill="1" applyBorder="1" applyAlignment="1" applyProtection="1">
      <alignment horizontal="center"/>
    </xf>
    <xf numFmtId="0" fontId="40" fillId="3" borderId="0" xfId="0" applyFont="1" applyFill="1" applyBorder="1"/>
    <xf numFmtId="0" fontId="28" fillId="3" borderId="1" xfId="0" applyFont="1" applyFill="1" applyBorder="1"/>
    <xf numFmtId="0" fontId="27" fillId="3" borderId="1" xfId="0" applyFont="1" applyFill="1" applyBorder="1"/>
    <xf numFmtId="0" fontId="41" fillId="3" borderId="7" xfId="0" applyFont="1" applyFill="1" applyBorder="1" applyAlignment="1" applyProtection="1">
      <alignment horizontal="center"/>
    </xf>
    <xf numFmtId="0" fontId="39" fillId="3" borderId="15" xfId="0" applyFont="1" applyFill="1" applyBorder="1" applyProtection="1">
      <protection locked="0"/>
    </xf>
    <xf numFmtId="0" fontId="40" fillId="3" borderId="8" xfId="0" applyFont="1" applyFill="1" applyBorder="1"/>
    <xf numFmtId="0" fontId="27" fillId="3" borderId="8" xfId="0" applyFont="1" applyFill="1" applyBorder="1"/>
    <xf numFmtId="168" fontId="27" fillId="3" borderId="0" xfId="0" applyNumberFormat="1" applyFont="1" applyFill="1" applyBorder="1" applyAlignment="1">
      <alignment horizontal="center"/>
    </xf>
    <xf numFmtId="9" fontId="27" fillId="3" borderId="7" xfId="0" applyNumberFormat="1" applyFont="1" applyFill="1" applyBorder="1" applyAlignment="1" applyProtection="1">
      <alignment horizontal="center"/>
      <protection locked="0"/>
    </xf>
    <xf numFmtId="0" fontId="27" fillId="3" borderId="1" xfId="0" applyFont="1" applyFill="1" applyBorder="1" applyAlignment="1"/>
    <xf numFmtId="0" fontId="27" fillId="3" borderId="7" xfId="0" applyFont="1" applyFill="1" applyBorder="1" applyAlignment="1" applyProtection="1">
      <alignment horizontal="center" wrapText="1"/>
      <protection locked="0"/>
    </xf>
    <xf numFmtId="22" fontId="27" fillId="3" borderId="0" xfId="0" applyNumberFormat="1" applyFont="1" applyFill="1" applyBorder="1" applyAlignment="1">
      <alignment horizontal="center"/>
    </xf>
    <xf numFmtId="2" fontId="27" fillId="3" borderId="0" xfId="0" applyNumberFormat="1" applyFont="1" applyFill="1" applyBorder="1"/>
    <xf numFmtId="0" fontId="42" fillId="3" borderId="0" xfId="0" applyFont="1" applyFill="1" applyBorder="1"/>
    <xf numFmtId="0" fontId="27" fillId="3" borderId="7" xfId="0" applyFont="1" applyFill="1" applyBorder="1"/>
    <xf numFmtId="0" fontId="27" fillId="3" borderId="11" xfId="0" applyFont="1" applyFill="1" applyBorder="1" applyAlignment="1" applyProtection="1">
      <alignment horizontal="center"/>
      <protection locked="0"/>
    </xf>
    <xf numFmtId="0" fontId="27" fillId="3" borderId="8" xfId="0" applyFont="1" applyFill="1" applyBorder="1" applyAlignment="1">
      <alignment horizontal="center"/>
    </xf>
    <xf numFmtId="0" fontId="40" fillId="3" borderId="0" xfId="0" applyFont="1" applyFill="1" applyBorder="1" applyAlignment="1">
      <alignment horizontal="center"/>
    </xf>
    <xf numFmtId="0" fontId="27" fillId="3" borderId="0" xfId="0" applyFont="1" applyFill="1" applyBorder="1" applyAlignment="1">
      <alignment horizontal="center"/>
    </xf>
    <xf numFmtId="16" fontId="33" fillId="3" borderId="4" xfId="0" applyNumberFormat="1" applyFont="1" applyFill="1" applyBorder="1" applyAlignment="1">
      <alignment horizontal="center"/>
    </xf>
    <xf numFmtId="15" fontId="33" fillId="3" borderId="5" xfId="0" applyNumberFormat="1" applyFont="1" applyFill="1" applyBorder="1" applyAlignment="1">
      <alignment horizontal="center"/>
    </xf>
    <xf numFmtId="19" fontId="33" fillId="3" borderId="5" xfId="0" applyNumberFormat="1" applyFont="1" applyFill="1" applyBorder="1" applyAlignment="1">
      <alignment horizontal="center"/>
    </xf>
    <xf numFmtId="0" fontId="33" fillId="3" borderId="5" xfId="0" applyFont="1" applyFill="1" applyBorder="1" applyAlignment="1">
      <alignment horizontal="center"/>
    </xf>
    <xf numFmtId="11" fontId="33" fillId="3" borderId="5" xfId="0" applyNumberFormat="1" applyFont="1" applyFill="1" applyBorder="1" applyAlignment="1">
      <alignment horizontal="center"/>
    </xf>
    <xf numFmtId="2" fontId="33" fillId="3" borderId="5" xfId="0" applyNumberFormat="1" applyFont="1" applyFill="1" applyBorder="1" applyAlignment="1">
      <alignment horizontal="center"/>
    </xf>
    <xf numFmtId="166" fontId="33" fillId="3" borderId="5" xfId="0" applyNumberFormat="1" applyFont="1" applyFill="1" applyBorder="1" applyAlignment="1">
      <alignment horizontal="center"/>
    </xf>
    <xf numFmtId="168" fontId="33" fillId="3" borderId="5" xfId="0" applyNumberFormat="1" applyFont="1" applyFill="1" applyBorder="1" applyAlignment="1">
      <alignment horizontal="center"/>
    </xf>
    <xf numFmtId="164" fontId="33" fillId="3" borderId="5" xfId="0" applyNumberFormat="1" applyFont="1" applyFill="1" applyBorder="1" applyAlignment="1">
      <alignment horizontal="center"/>
    </xf>
    <xf numFmtId="0" fontId="33" fillId="3" borderId="6" xfId="0" applyFont="1" applyFill="1" applyBorder="1" applyAlignment="1">
      <alignment horizontal="center"/>
    </xf>
    <xf numFmtId="0" fontId="33" fillId="3" borderId="0" xfId="0" applyFont="1" applyFill="1"/>
    <xf numFmtId="0" fontId="43" fillId="3" borderId="0" xfId="0" applyFont="1" applyFill="1"/>
    <xf numFmtId="2" fontId="33" fillId="3" borderId="0" xfId="0" applyNumberFormat="1" applyFont="1" applyFill="1"/>
    <xf numFmtId="11" fontId="33" fillId="3" borderId="0" xfId="0" applyNumberFormat="1" applyFont="1" applyFill="1"/>
    <xf numFmtId="0" fontId="27" fillId="3" borderId="0" xfId="0" applyFont="1" applyFill="1"/>
    <xf numFmtId="11" fontId="27" fillId="3" borderId="0" xfId="0" applyNumberFormat="1" applyFont="1" applyFill="1"/>
    <xf numFmtId="14" fontId="33" fillId="3" borderId="0" xfId="0" applyNumberFormat="1" applyFont="1" applyFill="1"/>
    <xf numFmtId="0" fontId="33" fillId="3" borderId="0" xfId="0" applyNumberFormat="1" applyFont="1" applyFill="1"/>
    <xf numFmtId="169" fontId="33" fillId="3" borderId="0" xfId="0" applyNumberFormat="1" applyFont="1" applyFill="1"/>
    <xf numFmtId="0" fontId="27" fillId="3" borderId="9" xfId="0" applyFont="1" applyFill="1" applyBorder="1" applyAlignment="1">
      <alignment horizontal="center" wrapText="1"/>
    </xf>
    <xf numFmtId="14" fontId="27" fillId="3" borderId="8" xfId="0" applyNumberFormat="1" applyFont="1" applyFill="1" applyBorder="1" applyAlignment="1">
      <alignment horizontal="center" wrapText="1"/>
    </xf>
    <xf numFmtId="15" fontId="27" fillId="3" borderId="8" xfId="0" applyNumberFormat="1" applyFont="1" applyFill="1" applyBorder="1" applyAlignment="1">
      <alignment horizontal="center" wrapText="1"/>
    </xf>
    <xf numFmtId="0" fontId="27" fillId="3" borderId="8" xfId="0" applyFont="1" applyFill="1" applyBorder="1" applyAlignment="1">
      <alignment horizontal="center" wrapText="1"/>
    </xf>
    <xf numFmtId="11" fontId="27" fillId="3" borderId="8" xfId="0" applyNumberFormat="1" applyFont="1" applyFill="1" applyBorder="1" applyAlignment="1">
      <alignment horizontal="center" wrapText="1"/>
    </xf>
    <xf numFmtId="0" fontId="27" fillId="3" borderId="0" xfId="0" applyFont="1" applyFill="1" applyAlignment="1">
      <alignment horizontal="center" wrapText="1"/>
    </xf>
    <xf numFmtId="0" fontId="27" fillId="3" borderId="10" xfId="0" applyFont="1" applyFill="1" applyBorder="1" applyAlignment="1">
      <alignment horizontal="center" wrapText="1"/>
    </xf>
    <xf numFmtId="0" fontId="27" fillId="3" borderId="0" xfId="0" applyFont="1" applyFill="1" applyAlignment="1">
      <alignment wrapText="1"/>
    </xf>
    <xf numFmtId="0" fontId="27" fillId="0" borderId="1" xfId="0" applyNumberFormat="1" applyFont="1" applyBorder="1" applyAlignment="1">
      <alignment horizontal="center" vertical="center" wrapText="1"/>
    </xf>
    <xf numFmtId="0" fontId="33" fillId="0" borderId="0" xfId="0" applyNumberFormat="1" applyFont="1"/>
    <xf numFmtId="14" fontId="33" fillId="0" borderId="0" xfId="0" applyNumberFormat="1" applyFont="1"/>
    <xf numFmtId="11" fontId="33" fillId="0" borderId="0" xfId="0" applyNumberFormat="1" applyFont="1" applyAlignment="1">
      <alignment horizontal="center"/>
    </xf>
    <xf numFmtId="166" fontId="33" fillId="0" borderId="0" xfId="0" applyNumberFormat="1" applyFont="1" applyAlignment="1">
      <alignment horizontal="center"/>
    </xf>
    <xf numFmtId="165" fontId="33" fillId="0" borderId="0" xfId="0" applyNumberFormat="1" applyFont="1" applyAlignment="1">
      <alignment horizontal="center"/>
    </xf>
    <xf numFmtId="2" fontId="33" fillId="0" borderId="0" xfId="0" applyNumberFormat="1" applyFont="1" applyAlignment="1">
      <alignment horizontal="center"/>
    </xf>
    <xf numFmtId="0" fontId="28"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protection locked="0"/>
    </xf>
    <xf numFmtId="0" fontId="27" fillId="3" borderId="0" xfId="0" applyFont="1" applyFill="1" applyBorder="1" applyAlignment="1" applyProtection="1">
      <alignment horizontal="center"/>
      <protection locked="0"/>
    </xf>
    <xf numFmtId="16" fontId="27" fillId="3" borderId="0" xfId="0" applyNumberFormat="1" applyFont="1" applyFill="1" applyBorder="1" applyAlignment="1" applyProtection="1">
      <alignment horizontal="center"/>
      <protection locked="0"/>
    </xf>
    <xf numFmtId="0" fontId="33" fillId="3" borderId="0" xfId="0" applyFont="1" applyFill="1" applyAlignment="1">
      <alignment horizontal="center"/>
    </xf>
    <xf numFmtId="0" fontId="33" fillId="3" borderId="0" xfId="0" applyFont="1" applyFill="1" applyBorder="1" applyAlignment="1">
      <alignment horizontal="center"/>
    </xf>
    <xf numFmtId="0" fontId="33" fillId="3" borderId="0" xfId="0" applyFont="1" applyFill="1" applyBorder="1" applyAlignment="1" applyProtection="1">
      <alignment horizontal="left"/>
    </xf>
    <xf numFmtId="0" fontId="33" fillId="3" borderId="7" xfId="0" applyFont="1" applyFill="1" applyBorder="1" applyAlignment="1">
      <alignment horizontal="left"/>
    </xf>
    <xf numFmtId="0" fontId="33" fillId="3" borderId="7" xfId="0" applyFont="1" applyFill="1" applyBorder="1" applyAlignment="1" applyProtection="1">
      <alignment horizontal="center"/>
      <protection locked="0"/>
    </xf>
    <xf numFmtId="0" fontId="27" fillId="3" borderId="0" xfId="0" applyFont="1" applyFill="1" applyBorder="1" applyAlignment="1" applyProtection="1">
      <alignment horizontal="center" wrapText="1"/>
    </xf>
    <xf numFmtId="0" fontId="33" fillId="4" borderId="7" xfId="0" applyFont="1" applyFill="1" applyBorder="1" applyAlignment="1">
      <alignment horizontal="center"/>
    </xf>
    <xf numFmtId="14" fontId="33" fillId="3" borderId="7" xfId="0" applyNumberFormat="1" applyFont="1" applyFill="1" applyBorder="1" applyAlignment="1">
      <alignment horizontal="center"/>
    </xf>
    <xf numFmtId="0" fontId="33" fillId="3" borderId="0" xfId="0" applyFont="1" applyFill="1" applyBorder="1" applyAlignment="1" applyProtection="1">
      <alignment horizontal="center"/>
    </xf>
    <xf numFmtId="0" fontId="33" fillId="3" borderId="0" xfId="0" applyFont="1" applyFill="1" applyBorder="1" applyAlignment="1">
      <alignment horizontal="left"/>
    </xf>
    <xf numFmtId="0" fontId="33" fillId="3" borderId="0" xfId="0" quotePrefix="1" applyFont="1" applyFill="1" applyAlignment="1">
      <alignment horizontal="center"/>
    </xf>
    <xf numFmtId="14" fontId="33" fillId="3" borderId="0" xfId="0" applyNumberFormat="1" applyFont="1" applyFill="1" applyBorder="1" applyAlignment="1" applyProtection="1">
      <alignment horizontal="center"/>
      <protection locked="0"/>
    </xf>
    <xf numFmtId="16" fontId="33" fillId="4" borderId="7" xfId="0" applyNumberFormat="1" applyFont="1" applyFill="1" applyBorder="1" applyAlignment="1">
      <alignment horizontal="center"/>
    </xf>
    <xf numFmtId="19" fontId="33" fillId="3" borderId="7" xfId="0" applyNumberFormat="1" applyFont="1" applyFill="1" applyBorder="1" applyAlignment="1" applyProtection="1">
      <alignment horizontal="center"/>
    </xf>
    <xf numFmtId="19" fontId="33" fillId="3" borderId="0" xfId="0" applyNumberFormat="1" applyFont="1" applyFill="1" applyBorder="1" applyAlignment="1">
      <alignment horizontal="center"/>
    </xf>
    <xf numFmtId="0" fontId="33" fillId="3" borderId="0" xfId="0" applyFont="1" applyFill="1" applyAlignment="1">
      <alignment horizontal="left"/>
    </xf>
    <xf numFmtId="0" fontId="33" fillId="3" borderId="7" xfId="0" applyFont="1" applyFill="1" applyBorder="1" applyAlignment="1" applyProtection="1">
      <alignment horizontal="left"/>
      <protection locked="0"/>
    </xf>
    <xf numFmtId="11" fontId="27" fillId="3" borderId="0" xfId="0" applyNumberFormat="1" applyFont="1" applyFill="1" applyBorder="1" applyAlignment="1">
      <alignment horizontal="center"/>
    </xf>
    <xf numFmtId="0" fontId="27" fillId="4" borderId="4" xfId="0" applyFont="1" applyFill="1" applyBorder="1" applyAlignment="1" applyProtection="1">
      <alignment horizontal="center" wrapText="1"/>
    </xf>
    <xf numFmtId="0" fontId="27" fillId="4" borderId="5" xfId="0" applyFont="1" applyFill="1" applyBorder="1" applyAlignment="1" applyProtection="1">
      <alignment horizontal="center" wrapText="1"/>
    </xf>
    <xf numFmtId="0" fontId="27" fillId="4" borderId="5" xfId="0" applyFont="1" applyFill="1" applyBorder="1" applyAlignment="1">
      <alignment horizontal="center" wrapText="1"/>
    </xf>
    <xf numFmtId="0" fontId="27" fillId="4" borderId="10" xfId="0" applyFont="1" applyFill="1" applyBorder="1" applyAlignment="1">
      <alignment horizontal="center" wrapText="1"/>
    </xf>
    <xf numFmtId="0" fontId="33" fillId="3" borderId="4" xfId="0" applyNumberFormat="1" applyFont="1" applyFill="1" applyBorder="1" applyAlignment="1" applyProtection="1">
      <alignment horizontal="center"/>
      <protection locked="0"/>
    </xf>
    <xf numFmtId="2" fontId="33" fillId="3" borderId="5" xfId="0" applyNumberFormat="1" applyFont="1" applyFill="1" applyBorder="1" applyAlignment="1" applyProtection="1">
      <alignment horizontal="center" wrapText="1"/>
      <protection locked="0"/>
    </xf>
    <xf numFmtId="11" fontId="33" fillId="3" borderId="5" xfId="0" applyNumberFormat="1" applyFont="1" applyFill="1" applyBorder="1" applyAlignment="1" applyProtection="1">
      <alignment horizontal="center"/>
      <protection locked="0"/>
    </xf>
    <xf numFmtId="165" fontId="33" fillId="3" borderId="5" xfId="0" applyNumberFormat="1" applyFont="1" applyFill="1" applyBorder="1" applyAlignment="1">
      <alignment horizontal="center"/>
    </xf>
    <xf numFmtId="167" fontId="33" fillId="3" borderId="5" xfId="0" applyNumberFormat="1" applyFont="1" applyFill="1" applyBorder="1" applyAlignment="1" applyProtection="1">
      <alignment horizontal="center"/>
    </xf>
    <xf numFmtId="11" fontId="33" fillId="3" borderId="5" xfId="0" applyNumberFormat="1" applyFont="1" applyFill="1" applyBorder="1" applyAlignment="1" applyProtection="1">
      <alignment horizontal="center"/>
    </xf>
    <xf numFmtId="170" fontId="33" fillId="3" borderId="5" xfId="0" applyNumberFormat="1" applyFont="1" applyFill="1" applyBorder="1" applyAlignment="1" applyProtection="1">
      <alignment horizontal="center"/>
    </xf>
    <xf numFmtId="2" fontId="33" fillId="3" borderId="5" xfId="0" applyNumberFormat="1" applyFont="1" applyFill="1" applyBorder="1" applyAlignment="1" applyProtection="1">
      <alignment horizontal="center"/>
    </xf>
    <xf numFmtId="166" fontId="33" fillId="3" borderId="5" xfId="0" applyNumberFormat="1" applyFont="1" applyFill="1" applyBorder="1" applyAlignment="1" applyProtection="1">
      <alignment horizontal="center"/>
    </xf>
    <xf numFmtId="168" fontId="33" fillId="3" borderId="5" xfId="0" applyNumberFormat="1" applyFont="1" applyFill="1" applyBorder="1" applyAlignment="1" applyProtection="1">
      <alignment horizontal="center"/>
    </xf>
    <xf numFmtId="167" fontId="33" fillId="3" borderId="6" xfId="0" applyNumberFormat="1" applyFont="1" applyFill="1" applyBorder="1" applyAlignment="1" applyProtection="1">
      <alignment horizontal="center"/>
    </xf>
    <xf numFmtId="11" fontId="33" fillId="3" borderId="0" xfId="0" applyNumberFormat="1" applyFont="1" applyFill="1" applyBorder="1" applyAlignment="1" applyProtection="1">
      <alignment horizontal="center"/>
    </xf>
    <xf numFmtId="167" fontId="33" fillId="3" borderId="0" xfId="0" applyNumberFormat="1" applyFont="1" applyFill="1" applyBorder="1" applyAlignment="1" applyProtection="1">
      <alignment horizontal="center"/>
    </xf>
    <xf numFmtId="2" fontId="33" fillId="3" borderId="0" xfId="0" applyNumberFormat="1" applyFont="1" applyFill="1" applyBorder="1" applyAlignment="1" applyProtection="1">
      <alignment horizontal="center"/>
    </xf>
    <xf numFmtId="1" fontId="33" fillId="3" borderId="0" xfId="0" applyNumberFormat="1" applyFont="1" applyFill="1" applyBorder="1" applyAlignment="1" applyProtection="1">
      <alignment horizontal="center"/>
    </xf>
    <xf numFmtId="0" fontId="33"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wrapText="1"/>
    </xf>
    <xf numFmtId="14" fontId="27" fillId="4" borderId="4" xfId="0" applyNumberFormat="1" applyFont="1" applyFill="1" applyBorder="1" applyAlignment="1" applyProtection="1">
      <alignment horizontal="center" wrapText="1"/>
    </xf>
    <xf numFmtId="21" fontId="27" fillId="4" borderId="5" xfId="0" applyNumberFormat="1" applyFont="1" applyFill="1" applyBorder="1" applyAlignment="1" applyProtection="1">
      <alignment horizontal="center" wrapText="1"/>
    </xf>
    <xf numFmtId="0" fontId="27" fillId="4" borderId="6" xfId="0" applyFont="1" applyFill="1" applyBorder="1" applyAlignment="1">
      <alignment horizontal="center" wrapText="1"/>
    </xf>
    <xf numFmtId="11" fontId="47" fillId="3" borderId="0" xfId="0" applyNumberFormat="1" applyFont="1" applyFill="1" applyBorder="1" applyAlignment="1" applyProtection="1">
      <alignment horizontal="center"/>
      <protection locked="0"/>
    </xf>
    <xf numFmtId="165" fontId="47" fillId="3" borderId="0" xfId="0" applyNumberFormat="1" applyFont="1" applyFill="1" applyBorder="1" applyAlignment="1" applyProtection="1">
      <alignment horizontal="center"/>
      <protection locked="0"/>
    </xf>
    <xf numFmtId="165"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pplyProtection="1">
      <alignment horizontal="center"/>
      <protection locked="0"/>
    </xf>
    <xf numFmtId="11" fontId="33" fillId="3" borderId="0" xfId="0" applyNumberFormat="1" applyFont="1" applyFill="1" applyBorder="1" applyAlignment="1" applyProtection="1">
      <alignment horizontal="center"/>
      <protection locked="0"/>
    </xf>
    <xf numFmtId="170" fontId="33" fillId="3" borderId="0" xfId="0" applyNumberFormat="1" applyFont="1" applyFill="1" applyBorder="1" applyAlignment="1">
      <alignment horizontal="center"/>
    </xf>
    <xf numFmtId="11" fontId="33" fillId="3" borderId="0" xfId="0" applyNumberFormat="1" applyFont="1" applyFill="1" applyBorder="1" applyAlignment="1">
      <alignment horizontal="center"/>
    </xf>
    <xf numFmtId="11" fontId="33" fillId="3" borderId="0" xfId="0" applyNumberFormat="1" applyFont="1" applyFill="1" applyAlignment="1">
      <alignment horizontal="center"/>
    </xf>
    <xf numFmtId="1"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lignment horizontal="center"/>
    </xf>
    <xf numFmtId="1" fontId="33" fillId="3" borderId="0" xfId="0" applyNumberFormat="1" applyFont="1" applyFill="1" applyBorder="1" applyAlignment="1">
      <alignment horizontal="center"/>
    </xf>
    <xf numFmtId="168" fontId="33" fillId="3" borderId="0" xfId="0" applyNumberFormat="1" applyFont="1" applyFill="1" applyAlignment="1">
      <alignment horizontal="center"/>
    </xf>
    <xf numFmtId="0" fontId="47" fillId="3" borderId="0" xfId="0" applyFont="1" applyFill="1" applyBorder="1" applyAlignment="1">
      <alignment horizontal="left"/>
    </xf>
    <xf numFmtId="0" fontId="47" fillId="3" borderId="0" xfId="0" applyNumberFormat="1" applyFont="1" applyFill="1" applyBorder="1" applyAlignment="1" applyProtection="1">
      <alignment horizontal="center"/>
      <protection locked="0"/>
    </xf>
    <xf numFmtId="11" fontId="47" fillId="3" borderId="0" xfId="0" applyNumberFormat="1" applyFont="1" applyFill="1" applyBorder="1" applyAlignment="1">
      <alignment horizontal="center"/>
    </xf>
    <xf numFmtId="0" fontId="47" fillId="3" borderId="0" xfId="0" applyNumberFormat="1" applyFont="1" applyFill="1" applyBorder="1" applyAlignment="1">
      <alignment horizontal="center"/>
    </xf>
    <xf numFmtId="0" fontId="47" fillId="3" borderId="0" xfId="0" applyFont="1" applyFill="1" applyBorder="1" applyAlignment="1">
      <alignment horizontal="center"/>
    </xf>
    <xf numFmtId="0" fontId="47" fillId="3" borderId="0" xfId="0" applyFont="1" applyFill="1" applyBorder="1" applyAlignment="1" applyProtection="1">
      <alignment horizontal="center"/>
      <protection locked="0"/>
    </xf>
    <xf numFmtId="0" fontId="47" fillId="3" borderId="0" xfId="0" applyNumberFormat="1" applyFont="1" applyFill="1" applyBorder="1" applyAlignment="1">
      <alignment horizontal="left"/>
    </xf>
    <xf numFmtId="0" fontId="33" fillId="3" borderId="0" xfId="0" applyNumberFormat="1" applyFont="1" applyFill="1" applyBorder="1" applyAlignment="1">
      <alignment horizontal="center"/>
    </xf>
    <xf numFmtId="0" fontId="47" fillId="3" borderId="0" xfId="0" applyNumberFormat="1" applyFont="1" applyFill="1" applyBorder="1" applyAlignment="1">
      <alignment horizontal="center" wrapText="1"/>
    </xf>
    <xf numFmtId="0" fontId="47" fillId="3" borderId="0" xfId="0" applyFont="1" applyFill="1" applyBorder="1" applyAlignment="1">
      <alignment horizontal="center" wrapText="1"/>
    </xf>
    <xf numFmtId="0" fontId="33" fillId="3" borderId="0" xfId="0" applyFont="1" applyFill="1" applyBorder="1" applyAlignment="1">
      <alignment horizontal="center" wrapText="1"/>
    </xf>
    <xf numFmtId="11" fontId="33" fillId="3" borderId="0" xfId="0" applyNumberFormat="1" applyFont="1" applyFill="1" applyBorder="1" applyAlignment="1">
      <alignment horizontal="center" wrapText="1"/>
    </xf>
    <xf numFmtId="16" fontId="47" fillId="3" borderId="0" xfId="0" applyNumberFormat="1" applyFont="1" applyFill="1" applyBorder="1" applyAlignment="1">
      <alignment horizontal="left"/>
    </xf>
    <xf numFmtId="167" fontId="33" fillId="3" borderId="0" xfId="0" applyNumberFormat="1" applyFont="1" applyFill="1" applyBorder="1" applyAlignment="1">
      <alignment horizontal="center"/>
    </xf>
    <xf numFmtId="166" fontId="33" fillId="3" borderId="0" xfId="0" applyNumberFormat="1" applyFont="1" applyFill="1" applyBorder="1" applyAlignment="1">
      <alignment horizontal="center"/>
    </xf>
    <xf numFmtId="0" fontId="47" fillId="3" borderId="0" xfId="0" applyFont="1" applyFill="1" applyAlignment="1">
      <alignment horizontal="left"/>
    </xf>
    <xf numFmtId="0" fontId="47" fillId="3" borderId="0" xfId="0" applyNumberFormat="1" applyFont="1" applyFill="1" applyAlignment="1">
      <alignment horizontal="center"/>
    </xf>
    <xf numFmtId="0" fontId="47" fillId="3" borderId="0" xfId="0" applyFont="1" applyFill="1" applyAlignment="1">
      <alignment horizontal="center"/>
    </xf>
    <xf numFmtId="11" fontId="47" fillId="3" borderId="0" xfId="0" applyNumberFormat="1" applyFont="1" applyFill="1" applyAlignment="1">
      <alignment horizontal="center"/>
    </xf>
    <xf numFmtId="0" fontId="33" fillId="3" borderId="0" xfId="0" applyNumberFormat="1" applyFont="1" applyFill="1" applyAlignment="1">
      <alignment horizontal="center"/>
    </xf>
    <xf numFmtId="0" fontId="25" fillId="2" borderId="7" xfId="0" applyFont="1" applyFill="1" applyBorder="1" applyAlignment="1">
      <alignment horizontal="center" vertical="center" wrapText="1"/>
    </xf>
    <xf numFmtId="0" fontId="36" fillId="0" borderId="9" xfId="0" applyFont="1" applyBorder="1" applyAlignment="1">
      <alignment horizontal="center" vertical="center"/>
    </xf>
    <xf numFmtId="0" fontId="36" fillId="0" borderId="8" xfId="0" applyFont="1" applyBorder="1" applyAlignment="1">
      <alignment horizontal="center" vertical="center"/>
    </xf>
    <xf numFmtId="0" fontId="36" fillId="0" borderId="10" xfId="0" applyFont="1" applyBorder="1" applyAlignment="1">
      <alignment horizontal="center" vertical="center"/>
    </xf>
    <xf numFmtId="0" fontId="36" fillId="0" borderId="2" xfId="0" applyFont="1" applyBorder="1" applyAlignment="1">
      <alignment horizontal="center" vertical="center"/>
    </xf>
    <xf numFmtId="0" fontId="36" fillId="0" borderId="1" xfId="0" applyFont="1" applyBorder="1" applyAlignment="1">
      <alignment horizontal="center" vertical="center"/>
    </xf>
    <xf numFmtId="0" fontId="36" fillId="0" borderId="3" xfId="0" applyFont="1" applyBorder="1" applyAlignment="1">
      <alignment horizontal="center" vertical="center"/>
    </xf>
    <xf numFmtId="0" fontId="37" fillId="2" borderId="11" xfId="0" applyFont="1" applyFill="1" applyBorder="1" applyAlignment="1">
      <alignment horizontal="center" vertical="center"/>
    </xf>
    <xf numFmtId="0" fontId="37" fillId="2" borderId="12" xfId="0" applyFont="1" applyFill="1" applyBorder="1" applyAlignment="1">
      <alignment horizontal="center" vertical="center"/>
    </xf>
    <xf numFmtId="0" fontId="30" fillId="0" borderId="13" xfId="0" applyFont="1" applyBorder="1" applyAlignment="1">
      <alignment horizontal="center" wrapText="1"/>
    </xf>
    <xf numFmtId="0" fontId="30" fillId="0" borderId="0" xfId="0" applyFont="1" applyBorder="1" applyAlignment="1">
      <alignment horizontal="center" wrapText="1"/>
    </xf>
    <xf numFmtId="0" fontId="35" fillId="0" borderId="9"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3" xfId="0" applyFont="1" applyBorder="1" applyAlignment="1">
      <alignment horizontal="center" vertical="center" wrapText="1"/>
    </xf>
    <xf numFmtId="0" fontId="33" fillId="3" borderId="0" xfId="0" applyFont="1" applyFill="1" applyAlignment="1">
      <alignment horizontal="left"/>
    </xf>
    <xf numFmtId="0" fontId="27" fillId="3" borderId="7" xfId="0" applyFont="1" applyFill="1" applyBorder="1" applyProtection="1"/>
    <xf numFmtId="0" fontId="27" fillId="3" borderId="4" xfId="0" applyFont="1" applyFill="1" applyBorder="1"/>
    <xf numFmtId="0" fontId="27" fillId="3" borderId="5" xfId="0" applyFont="1" applyFill="1" applyBorder="1"/>
    <xf numFmtId="0" fontId="27" fillId="3" borderId="6" xfId="0" applyFont="1" applyFill="1" applyBorder="1"/>
    <xf numFmtId="0" fontId="27" fillId="3" borderId="7" xfId="0" applyFont="1" applyFill="1" applyBorder="1"/>
    <xf numFmtId="0" fontId="27" fillId="3" borderId="7" xfId="0" applyFont="1" applyFill="1" applyBorder="1" applyProtection="1">
      <protection locked="0"/>
    </xf>
    <xf numFmtId="0" fontId="27" fillId="3" borderId="11" xfId="0" applyFont="1" applyFill="1" applyBorder="1"/>
    <xf numFmtId="0" fontId="27" fillId="3" borderId="8" xfId="0" applyFont="1" applyFill="1" applyBorder="1"/>
    <xf numFmtId="0" fontId="27" fillId="3" borderId="15" xfId="0" applyFont="1" applyFill="1" applyBorder="1"/>
    <xf numFmtId="2" fontId="16" fillId="0" borderId="4" xfId="0" applyNumberFormat="1" applyFont="1" applyBorder="1" applyAlignment="1" applyProtection="1">
      <alignment horizontal="center" vertical="center"/>
    </xf>
    <xf numFmtId="2" fontId="16" fillId="0" borderId="6" xfId="0" applyNumberFormat="1" applyFont="1" applyBorder="1" applyAlignment="1" applyProtection="1">
      <alignment horizontal="center" vertical="center"/>
    </xf>
    <xf numFmtId="0" fontId="21" fillId="0" borderId="4" xfId="0" applyFont="1" applyBorder="1" applyAlignment="1" applyProtection="1">
      <alignment vertical="center"/>
    </xf>
    <xf numFmtId="0" fontId="21" fillId="0" borderId="6" xfId="0" applyFont="1" applyBorder="1" applyAlignment="1" applyProtection="1">
      <alignment vertical="center"/>
    </xf>
    <xf numFmtId="0" fontId="16" fillId="0" borderId="7" xfId="0" applyFont="1" applyBorder="1" applyAlignment="1" applyProtection="1">
      <alignment horizontal="center"/>
      <protection locked="0"/>
    </xf>
    <xf numFmtId="0" fontId="16" fillId="0" borderId="4" xfId="0" applyFont="1" applyBorder="1" applyAlignment="1" applyProtection="1">
      <alignment vertical="center"/>
    </xf>
    <xf numFmtId="0" fontId="16" fillId="0" borderId="6" xfId="0" applyFont="1" applyBorder="1" applyAlignment="1" applyProtection="1">
      <alignment vertical="center"/>
    </xf>
    <xf numFmtId="0" fontId="16" fillId="0" borderId="7" xfId="0" quotePrefix="1" applyFont="1" applyBorder="1" applyAlignment="1" applyProtection="1">
      <alignment horizontal="center" vertical="center"/>
    </xf>
    <xf numFmtId="0" fontId="16" fillId="0" borderId="7" xfId="0" applyFont="1" applyBorder="1" applyAlignment="1" applyProtection="1">
      <alignment horizontal="center" vertical="center"/>
    </xf>
    <xf numFmtId="2" fontId="16" fillId="0" borderId="7" xfId="0" applyNumberFormat="1" applyFont="1" applyBorder="1" applyAlignment="1" applyProtection="1">
      <alignment horizontal="center" vertical="center"/>
    </xf>
    <xf numFmtId="0" fontId="4" fillId="0" borderId="4"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16" fillId="0" borderId="4" xfId="0" applyFont="1" applyBorder="1" applyAlignment="1" applyProtection="1">
      <alignment horizontal="center" vertical="center"/>
    </xf>
    <xf numFmtId="0" fontId="16" fillId="0" borderId="6" xfId="0" applyFont="1" applyBorder="1" applyAlignment="1" applyProtection="1">
      <alignment horizontal="center" vertical="center"/>
    </xf>
    <xf numFmtId="0" fontId="15" fillId="0" borderId="4" xfId="0" applyFont="1" applyBorder="1" applyAlignment="1" applyProtection="1">
      <alignment horizontal="center" vertical="center"/>
    </xf>
    <xf numFmtId="0" fontId="15" fillId="0" borderId="6" xfId="0" applyFont="1" applyBorder="1" applyAlignment="1" applyProtection="1">
      <alignment horizontal="center" vertical="center"/>
    </xf>
    <xf numFmtId="0" fontId="24" fillId="0" borderId="0" xfId="0" applyFont="1" applyAlignment="1" applyProtection="1">
      <alignment horizontal="center"/>
    </xf>
    <xf numFmtId="0" fontId="15" fillId="0" borderId="7" xfId="0" applyFont="1" applyBorder="1" applyAlignment="1" applyProtection="1">
      <alignment horizontal="center" vertical="center"/>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6" xfId="0" applyFont="1" applyBorder="1" applyAlignment="1" applyProtection="1">
      <alignment horizontal="center" vertical="center"/>
      <protection locked="0"/>
    </xf>
    <xf numFmtId="0" fontId="16" fillId="0" borderId="5" xfId="0" applyFont="1" applyBorder="1" applyAlignment="1" applyProtection="1">
      <alignment horizontal="center" vertical="center"/>
    </xf>
    <xf numFmtId="0" fontId="16" fillId="0" borderId="7" xfId="0" applyFont="1" applyBorder="1" applyAlignment="1" applyProtection="1">
      <alignment horizontal="center" vertical="center"/>
      <protection locked="0"/>
    </xf>
    <xf numFmtId="11" fontId="16" fillId="0" borderId="7" xfId="0" applyNumberFormat="1" applyFont="1" applyBorder="1" applyAlignment="1" applyProtection="1">
      <alignment horizontal="center" vertical="center"/>
    </xf>
    <xf numFmtId="0" fontId="16" fillId="0" borderId="0" xfId="0" applyFont="1" applyAlignment="1" applyProtection="1">
      <alignment vertical="center"/>
    </xf>
    <xf numFmtId="0" fontId="16" fillId="0" borderId="7" xfId="0" quotePrefix="1" applyFont="1" applyBorder="1" applyAlignment="1" applyProtection="1">
      <alignment horizontal="center" vertical="center"/>
      <protection locked="0"/>
    </xf>
  </cellXfs>
  <cellStyles count="3">
    <cellStyle name="Normal" xfId="0" builtinId="0"/>
    <cellStyle name="Normal_CommandLineGenerator" xfId="1"/>
    <cellStyle name="Percent" xfId="2" builtinId="5"/>
  </cellStyles>
  <dxfs count="2">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2004EC"/>
      <color rgb="FFF0D54B"/>
      <color rgb="FF6D6D6D"/>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Arial" pitchFamily="34" charset="0"/>
                <a:cs typeface="Arial" pitchFamily="34" charset="0"/>
              </a:defRPr>
            </a:pPr>
            <a:r>
              <a:rPr lang="en-US" sz="1200">
                <a:latin typeface="Arial" pitchFamily="34" charset="0"/>
                <a:cs typeface="Arial" pitchFamily="34" charset="0"/>
              </a:rPr>
              <a:t>Inverse</a:t>
            </a:r>
            <a:r>
              <a:rPr lang="en-US" sz="1200" baseline="0">
                <a:latin typeface="Arial" pitchFamily="34" charset="0"/>
                <a:cs typeface="Arial" pitchFamily="34" charset="0"/>
              </a:rPr>
              <a:t> Lifetime (Corrected) vs. Carrier Density</a:t>
            </a:r>
          </a:p>
        </c:rich>
      </c:tx>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7819653846977320</c:v>
                </c:pt>
                <c:pt idx="1">
                  <c:v>7529106303172681</c:v>
                </c:pt>
                <c:pt idx="2">
                  <c:v>7240838114708719</c:v>
                </c:pt>
                <c:pt idx="3">
                  <c:v>6957994349400993</c:v>
                </c:pt>
                <c:pt idx="4">
                  <c:v>6685751356152515</c:v>
                </c:pt>
                <c:pt idx="5">
                  <c:v>6423987082665524</c:v>
                </c:pt>
                <c:pt idx="6">
                  <c:v>6173260391428934</c:v>
                </c:pt>
                <c:pt idx="7">
                  <c:v>5934470342486079</c:v>
                </c:pt>
                <c:pt idx="8">
                  <c:v>5705928596947935</c:v>
                </c:pt>
                <c:pt idx="9">
                  <c:v>5487981409533569</c:v>
                </c:pt>
                <c:pt idx="10">
                  <c:v>5279140938784232</c:v>
                </c:pt>
                <c:pt idx="11">
                  <c:v>5079038322726614</c:v>
                </c:pt>
                <c:pt idx="12">
                  <c:v>4888945383497467</c:v>
                </c:pt>
                <c:pt idx="13">
                  <c:v>4707078034554299</c:v>
                </c:pt>
                <c:pt idx="14">
                  <c:v>4534386484947477</c:v>
                </c:pt>
                <c:pt idx="15">
                  <c:v>4369637826078056</c:v>
                </c:pt>
                <c:pt idx="16">
                  <c:v>4211130389768981</c:v>
                </c:pt>
                <c:pt idx="17">
                  <c:v>4059693690977409</c:v>
                </c:pt>
                <c:pt idx="18">
                  <c:v>3915051365799600.5</c:v>
                </c:pt>
                <c:pt idx="19">
                  <c:v>3777391503419801.5</c:v>
                </c:pt>
                <c:pt idx="20">
                  <c:v>3645283068023184</c:v>
                </c:pt>
                <c:pt idx="21">
                  <c:v>3518164805781539.5</c:v>
                </c:pt>
                <c:pt idx="22">
                  <c:v>3397013458479484</c:v>
                </c:pt>
                <c:pt idx="23">
                  <c:v>3281239170397494.5</c:v>
                </c:pt>
                <c:pt idx="24">
                  <c:v>3169704805721946</c:v>
                </c:pt>
                <c:pt idx="25">
                  <c:v>3061861028118759.5</c:v>
                </c:pt>
                <c:pt idx="26">
                  <c:v>2958950718217559</c:v>
                </c:pt>
                <c:pt idx="27">
                  <c:v>2860407854364167.5</c:v>
                </c:pt>
                <c:pt idx="28">
                  <c:v>2765949848676798.5</c:v>
                </c:pt>
                <c:pt idx="29">
                  <c:v>2673850634950063.5</c:v>
                </c:pt>
                <c:pt idx="30">
                  <c:v>2587131206289060</c:v>
                </c:pt>
                <c:pt idx="31">
                  <c:v>2501974474969103.5</c:v>
                </c:pt>
                <c:pt idx="32">
                  <c:v>2421528536526037</c:v>
                </c:pt>
                <c:pt idx="33">
                  <c:v>2343481311620845.5</c:v>
                </c:pt>
                <c:pt idx="34">
                  <c:v>2267154283863490</c:v>
                </c:pt>
                <c:pt idx="35">
                  <c:v>2194801256365321</c:v>
                </c:pt>
                <c:pt idx="36">
                  <c:v>2124089956570445.5</c:v>
                </c:pt>
                <c:pt idx="37">
                  <c:v>2056249407246207.2</c:v>
                </c:pt>
                <c:pt idx="38">
                  <c:v>1991737917425052.2</c:v>
                </c:pt>
                <c:pt idx="39">
                  <c:v>1928587019507919.5</c:v>
                </c:pt>
                <c:pt idx="40">
                  <c:v>1868287424157004</c:v>
                </c:pt>
                <c:pt idx="41">
                  <c:v>1808986327497433.5</c:v>
                </c:pt>
                <c:pt idx="42">
                  <c:v>1752466504942248.3</c:v>
                </c:pt>
                <c:pt idx="43">
                  <c:v>1697738957393044.5</c:v>
                </c:pt>
                <c:pt idx="44">
                  <c:v>1645338890713628</c:v>
                </c:pt>
                <c:pt idx="45">
                  <c:v>1593108604489832</c:v>
                </c:pt>
                <c:pt idx="46">
                  <c:v>1543732199206721.2</c:v>
                </c:pt>
                <c:pt idx="47">
                  <c:v>1496477716623886.7</c:v>
                </c:pt>
                <c:pt idx="48">
                  <c:v>1449931398779417.8</c:v>
                </c:pt>
                <c:pt idx="49">
                  <c:v>1404758742900291.5</c:v>
                </c:pt>
                <c:pt idx="50">
                  <c:v>1360149093226980.5</c:v>
                </c:pt>
                <c:pt idx="51">
                  <c:v>1318339533162401.5</c:v>
                </c:pt>
                <c:pt idx="52">
                  <c:v>1276366761606454.7</c:v>
                </c:pt>
                <c:pt idx="53">
                  <c:v>1236397842097094.7</c:v>
                </c:pt>
                <c:pt idx="54">
                  <c:v>1198299764662150</c:v>
                </c:pt>
                <c:pt idx="55">
                  <c:v>1159718392552213</c:v>
                </c:pt>
                <c:pt idx="56">
                  <c:v>1124068435231203.9</c:v>
                </c:pt>
                <c:pt idx="57">
                  <c:v>1088875466666235.9</c:v>
                </c:pt>
                <c:pt idx="58">
                  <c:v>1054362756301558.5</c:v>
                </c:pt>
                <c:pt idx="59">
                  <c:v>1021130950439912.6</c:v>
                </c:pt>
                <c:pt idx="60">
                  <c:v>989273239742595.87</c:v>
                </c:pt>
                <c:pt idx="61">
                  <c:v>957932029709215.12</c:v>
                </c:pt>
                <c:pt idx="62">
                  <c:v>927748163589670.12</c:v>
                </c:pt>
                <c:pt idx="63">
                  <c:v>898480048585541.12</c:v>
                </c:pt>
                <c:pt idx="64">
                  <c:v>870180597539535.87</c:v>
                </c:pt>
                <c:pt idx="65">
                  <c:v>842429428213472.37</c:v>
                </c:pt>
                <c:pt idx="66">
                  <c:v>815349169601617.62</c:v>
                </c:pt>
                <c:pt idx="67">
                  <c:v>789885038373114.25</c:v>
                </c:pt>
                <c:pt idx="68">
                  <c:v>764544536336321.25</c:v>
                </c:pt>
                <c:pt idx="69">
                  <c:v>739269059207523.62</c:v>
                </c:pt>
                <c:pt idx="70">
                  <c:v>716021326909982.25</c:v>
                </c:pt>
                <c:pt idx="71">
                  <c:v>692266332516810.37</c:v>
                </c:pt>
                <c:pt idx="72">
                  <c:v>670072716891285.62</c:v>
                </c:pt>
                <c:pt idx="73">
                  <c:v>647815047428276.62</c:v>
                </c:pt>
                <c:pt idx="74">
                  <c:v>625785549285674.75</c:v>
                </c:pt>
                <c:pt idx="75">
                  <c:v>605310548051345</c:v>
                </c:pt>
                <c:pt idx="76">
                  <c:v>585736810058109.62</c:v>
                </c:pt>
                <c:pt idx="77">
                  <c:v>565764364024041.25</c:v>
                </c:pt>
                <c:pt idx="78">
                  <c:v>547201082126506.75</c:v>
                </c:pt>
                <c:pt idx="79">
                  <c:v>527604469491761.62</c:v>
                </c:pt>
                <c:pt idx="80">
                  <c:v>510336898699577.94</c:v>
                </c:pt>
                <c:pt idx="81">
                  <c:v>492560090053309</c:v>
                </c:pt>
                <c:pt idx="82">
                  <c:v>475180905095689</c:v>
                </c:pt>
                <c:pt idx="83">
                  <c:v>459202143652602.69</c:v>
                </c:pt>
                <c:pt idx="84">
                  <c:v>443262186820079</c:v>
                </c:pt>
                <c:pt idx="85">
                  <c:v>427663240158095.31</c:v>
                </c:pt>
                <c:pt idx="86">
                  <c:v>412882329625965.69</c:v>
                </c:pt>
                <c:pt idx="87">
                  <c:v>398440603892279.87</c:v>
                </c:pt>
                <c:pt idx="88">
                  <c:v>383485783775520.37</c:v>
                </c:pt>
                <c:pt idx="89">
                  <c:v>369980620623459.94</c:v>
                </c:pt>
                <c:pt idx="90">
                  <c:v>357248496720554.87</c:v>
                </c:pt>
                <c:pt idx="91">
                  <c:v>343838392676644.37</c:v>
                </c:pt>
                <c:pt idx="92">
                  <c:v>332146803764288.44</c:v>
                </c:pt>
                <c:pt idx="93">
                  <c:v>319845468471968.87</c:v>
                </c:pt>
                <c:pt idx="94">
                  <c:v>308328309726347.12</c:v>
                </c:pt>
                <c:pt idx="95">
                  <c:v>297486533618272.75</c:v>
                </c:pt>
                <c:pt idx="96">
                  <c:v>286159504933067.44</c:v>
                </c:pt>
                <c:pt idx="97">
                  <c:v>275995855894748.12</c:v>
                </c:pt>
                <c:pt idx="98">
                  <c:v>266561282447647.94</c:v>
                </c:pt>
                <c:pt idx="99">
                  <c:v>257278579155500.41</c:v>
                </c:pt>
                <c:pt idx="100">
                  <c:v>248464201574708.03</c:v>
                </c:pt>
                <c:pt idx="101">
                  <c:v>239353533984801.22</c:v>
                </c:pt>
                <c:pt idx="102">
                  <c:v>230735795418580.44</c:v>
                </c:pt>
                <c:pt idx="103">
                  <c:v>223373924361849.44</c:v>
                </c:pt>
                <c:pt idx="104">
                  <c:v>215198340747011.87</c:v>
                </c:pt>
                <c:pt idx="105">
                  <c:v>207868114746147.03</c:v>
                </c:pt>
                <c:pt idx="106">
                  <c:v>200582095845874.59</c:v>
                </c:pt>
                <c:pt idx="107">
                  <c:v>195076737089164.28</c:v>
                </c:pt>
                <c:pt idx="108">
                  <c:v>188827143272111.87</c:v>
                </c:pt>
                <c:pt idx="109">
                  <c:v>181792244025413.81</c:v>
                </c:pt>
                <c:pt idx="110">
                  <c:v>176767128050752.59</c:v>
                </c:pt>
                <c:pt idx="111">
                  <c:v>171337315296003.25</c:v>
                </c:pt>
                <c:pt idx="112">
                  <c:v>165922769955162.66</c:v>
                </c:pt>
                <c:pt idx="113">
                  <c:v>160467915272472.62</c:v>
                </c:pt>
                <c:pt idx="114">
                  <c:v>156778410898417.81</c:v>
                </c:pt>
                <c:pt idx="115">
                  <c:v>151704996608907.37</c:v>
                </c:pt>
              </c:numCache>
            </c:numRef>
          </c:xVal>
          <c:yVal>
            <c:numRef>
              <c:f>Calc!$S$15:$S$130</c:f>
              <c:numCache>
                <c:formatCode>0</c:formatCode>
                <c:ptCount val="116"/>
                <c:pt idx="0">
                  <c:v>12239.261453411029</c:v>
                </c:pt>
                <c:pt idx="1">
                  <c:v>11896.999443241515</c:v>
                </c:pt>
                <c:pt idx="2">
                  <c:v>11548.338749765946</c:v>
                </c:pt>
                <c:pt idx="3">
                  <c:v>11191.753993899069</c:v>
                </c:pt>
                <c:pt idx="4">
                  <c:v>10854.213133602732</c:v>
                </c:pt>
                <c:pt idx="5">
                  <c:v>10533.519313133955</c:v>
                </c:pt>
                <c:pt idx="6">
                  <c:v>10201.603865059418</c:v>
                </c:pt>
                <c:pt idx="7">
                  <c:v>9915.3576731757494</c:v>
                </c:pt>
                <c:pt idx="8">
                  <c:v>9612.2565364752263</c:v>
                </c:pt>
                <c:pt idx="9">
                  <c:v>9312.2717517796282</c:v>
                </c:pt>
                <c:pt idx="10">
                  <c:v>9056.0371415925947</c:v>
                </c:pt>
                <c:pt idx="11">
                  <c:v>8779.2780096452225</c:v>
                </c:pt>
                <c:pt idx="12">
                  <c:v>8526.1375341956973</c:v>
                </c:pt>
                <c:pt idx="13">
                  <c:v>8284.3575706910342</c:v>
                </c:pt>
                <c:pt idx="14">
                  <c:v>8026.2451927149241</c:v>
                </c:pt>
                <c:pt idx="15">
                  <c:v>7823.6570120847082</c:v>
                </c:pt>
                <c:pt idx="16">
                  <c:v>7593.911736956773</c:v>
                </c:pt>
                <c:pt idx="17">
                  <c:v>7363.8319372213728</c:v>
                </c:pt>
                <c:pt idx="18">
                  <c:v>7188.0199208736421</c:v>
                </c:pt>
                <c:pt idx="19">
                  <c:v>6966.8707554926832</c:v>
                </c:pt>
                <c:pt idx="20">
                  <c:v>6779.8277646257875</c:v>
                </c:pt>
                <c:pt idx="21">
                  <c:v>6604.351744052502</c:v>
                </c:pt>
                <c:pt idx="22">
                  <c:v>6398.2326968179159</c:v>
                </c:pt>
                <c:pt idx="23">
                  <c:v>6262.3803072846267</c:v>
                </c:pt>
                <c:pt idx="24">
                  <c:v>6085.7113358876932</c:v>
                </c:pt>
                <c:pt idx="25">
                  <c:v>5900.4519146604607</c:v>
                </c:pt>
                <c:pt idx="26">
                  <c:v>5785.574166313927</c:v>
                </c:pt>
                <c:pt idx="27">
                  <c:v>5611.8403716299599</c:v>
                </c:pt>
                <c:pt idx="28">
                  <c:v>5467.4265611713436</c:v>
                </c:pt>
                <c:pt idx="29">
                  <c:v>5349.9802483296198</c:v>
                </c:pt>
                <c:pt idx="30">
                  <c:v>5168.787060027822</c:v>
                </c:pt>
                <c:pt idx="31">
                  <c:v>5089.6145818650366</c:v>
                </c:pt>
                <c:pt idx="32">
                  <c:v>4943.7599621651152</c:v>
                </c:pt>
                <c:pt idx="33">
                  <c:v>4790.6850212775289</c:v>
                </c:pt>
                <c:pt idx="34">
                  <c:v>4719.3277320563875</c:v>
                </c:pt>
                <c:pt idx="35">
                  <c:v>4577.3234446342249</c:v>
                </c:pt>
                <c:pt idx="36">
                  <c:v>4491.4814558431954</c:v>
                </c:pt>
                <c:pt idx="37">
                  <c:v>4410.0930328305221</c:v>
                </c:pt>
                <c:pt idx="38">
                  <c:v>4266.9900037016987</c:v>
                </c:pt>
                <c:pt idx="39">
                  <c:v>4224.5739305223788</c:v>
                </c:pt>
                <c:pt idx="40">
                  <c:v>4120.6201430634583</c:v>
                </c:pt>
                <c:pt idx="41">
                  <c:v>3965.8443419562241</c:v>
                </c:pt>
                <c:pt idx="42">
                  <c:v>3936.4750886248189</c:v>
                </c:pt>
                <c:pt idx="43">
                  <c:v>3818.912323904256</c:v>
                </c:pt>
                <c:pt idx="44">
                  <c:v>3694.5917506813894</c:v>
                </c:pt>
                <c:pt idx="45">
                  <c:v>3671.9185356088174</c:v>
                </c:pt>
                <c:pt idx="46">
                  <c:v>3537.8329508269521</c:v>
                </c:pt>
                <c:pt idx="47">
                  <c:v>3521.4401837524711</c:v>
                </c:pt>
                <c:pt idx="48">
                  <c:v>3453.1246953820719</c:v>
                </c:pt>
                <c:pt idx="49">
                  <c:v>3325.6657212670284</c:v>
                </c:pt>
                <c:pt idx="50">
                  <c:v>3349.3210907264702</c:v>
                </c:pt>
                <c:pt idx="51">
                  <c:v>3246.9352540642317</c:v>
                </c:pt>
                <c:pt idx="52">
                  <c:v>3127.1012501200998</c:v>
                </c:pt>
                <c:pt idx="53">
                  <c:v>3147.91694378903</c:v>
                </c:pt>
                <c:pt idx="54">
                  <c:v>3014.1590384349856</c:v>
                </c:pt>
                <c:pt idx="55">
                  <c:v>2981.0455600933715</c:v>
                </c:pt>
                <c:pt idx="56">
                  <c:v>2943.8880821737084</c:v>
                </c:pt>
                <c:pt idx="57">
                  <c:v>2800.3475198653255</c:v>
                </c:pt>
                <c:pt idx="58">
                  <c:v>2872.0450190821198</c:v>
                </c:pt>
                <c:pt idx="59">
                  <c:v>2776.4500294565883</c:v>
                </c:pt>
                <c:pt idx="60">
                  <c:v>2658.2516483261279</c:v>
                </c:pt>
                <c:pt idx="61">
                  <c:v>2753.6113244703429</c:v>
                </c:pt>
                <c:pt idx="62">
                  <c:v>2652.3467773312777</c:v>
                </c:pt>
                <c:pt idx="63">
                  <c:v>2557.134653216237</c:v>
                </c:pt>
                <c:pt idx="64">
                  <c:v>2597.5220322482869</c:v>
                </c:pt>
                <c:pt idx="65">
                  <c:v>2459.082061928917</c:v>
                </c:pt>
                <c:pt idx="66">
                  <c:v>2504.1202858064844</c:v>
                </c:pt>
                <c:pt idx="67">
                  <c:v>2465.4234449655437</c:v>
                </c:pt>
                <c:pt idx="68">
                  <c:v>2314.8800764073035</c:v>
                </c:pt>
                <c:pt idx="69">
                  <c:v>2441.804463272385</c:v>
                </c:pt>
                <c:pt idx="70">
                  <c:v>2352.3577505276598</c:v>
                </c:pt>
                <c:pt idx="71">
                  <c:v>2244.2902945045757</c:v>
                </c:pt>
                <c:pt idx="72">
                  <c:v>2358.4543219777624</c:v>
                </c:pt>
                <c:pt idx="73">
                  <c:v>2140.2899872862608</c:v>
                </c:pt>
                <c:pt idx="74">
                  <c:v>2321.3355475636536</c:v>
                </c:pt>
                <c:pt idx="75">
                  <c:v>2266.8278352097973</c:v>
                </c:pt>
                <c:pt idx="76">
                  <c:v>2087.5520143271865</c:v>
                </c:pt>
                <c:pt idx="77">
                  <c:v>2294.1808372307</c:v>
                </c:pt>
                <c:pt idx="78">
                  <c:v>2171.9328054732687</c:v>
                </c:pt>
                <c:pt idx="79">
                  <c:v>2064.6560453111483</c:v>
                </c:pt>
                <c:pt idx="80">
                  <c:v>2263.1631656977402</c:v>
                </c:pt>
                <c:pt idx="81">
                  <c:v>2047.7666143974266</c:v>
                </c:pt>
                <c:pt idx="82">
                  <c:v>2181.4381701808952</c:v>
                </c:pt>
                <c:pt idx="83">
                  <c:v>2228.2668655045563</c:v>
                </c:pt>
                <c:pt idx="84">
                  <c:v>1865.8846726113557</c:v>
                </c:pt>
                <c:pt idx="85">
                  <c:v>2298.890438129466</c:v>
                </c:pt>
                <c:pt idx="86">
                  <c:v>2217.2228240896902</c:v>
                </c:pt>
                <c:pt idx="87">
                  <c:v>2003.442631380276</c:v>
                </c:pt>
                <c:pt idx="88">
                  <c:v>2324.5139266209717</c:v>
                </c:pt>
                <c:pt idx="89">
                  <c:v>2039.368006293153</c:v>
                </c:pt>
                <c:pt idx="90">
                  <c:v>2282.8076937265</c:v>
                </c:pt>
                <c:pt idx="91">
                  <c:v>2239.6779461424239</c:v>
                </c:pt>
                <c:pt idx="92">
                  <c:v>1905.3029929228289</c:v>
                </c:pt>
                <c:pt idx="93">
                  <c:v>2306.0072421210339</c:v>
                </c:pt>
                <c:pt idx="94">
                  <c:v>2151.0297524806838</c:v>
                </c:pt>
                <c:pt idx="95">
                  <c:v>2024.167938518905</c:v>
                </c:pt>
                <c:pt idx="96">
                  <c:v>2326.5579273562125</c:v>
                </c:pt>
                <c:pt idx="97">
                  <c:v>1941.5454790531082</c:v>
                </c:pt>
                <c:pt idx="98">
                  <c:v>2250.5512920856959</c:v>
                </c:pt>
                <c:pt idx="99">
                  <c:v>2333.48941664734</c:v>
                </c:pt>
                <c:pt idx="100">
                  <c:v>1927.3762381849185</c:v>
                </c:pt>
                <c:pt idx="101">
                  <c:v>2490.7432564044061</c:v>
                </c:pt>
                <c:pt idx="102">
                  <c:v>2347.4603454589269</c:v>
                </c:pt>
                <c:pt idx="103">
                  <c:v>1995.7048212374086</c:v>
                </c:pt>
                <c:pt idx="104">
                  <c:v>2581.1832967943742</c:v>
                </c:pt>
                <c:pt idx="105">
                  <c:v>2157.8519615738646</c:v>
                </c:pt>
                <c:pt idx="106">
                  <c:v>2526.493969817016</c:v>
                </c:pt>
                <c:pt idx="107">
                  <c:v>2584.51583340244</c:v>
                </c:pt>
                <c:pt idx="108">
                  <c:v>2040.1611192341525</c:v>
                </c:pt>
                <c:pt idx="109">
                  <c:v>2837.2358555701412</c:v>
                </c:pt>
                <c:pt idx="110">
                  <c:v>2541.0090830474655</c:v>
                </c:pt>
                <c:pt idx="111">
                  <c:v>2387.565992872057</c:v>
                </c:pt>
                <c:pt idx="112">
                  <c:v>2920.1289873634264</c:v>
                </c:pt>
                <c:pt idx="113">
                  <c:v>2378.595346314421</c:v>
                </c:pt>
                <c:pt idx="114">
                  <c:v>2896.6488337216574</c:v>
                </c:pt>
                <c:pt idx="115">
                  <c:v>2902.5858423193717</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7819653846977320</c:v>
                </c:pt>
                <c:pt idx="1">
                  <c:v>7529106303172681</c:v>
                </c:pt>
                <c:pt idx="2">
                  <c:v>7240838114708719</c:v>
                </c:pt>
                <c:pt idx="3">
                  <c:v>6957994349400993</c:v>
                </c:pt>
                <c:pt idx="4">
                  <c:v>6685751356152515</c:v>
                </c:pt>
                <c:pt idx="5">
                  <c:v>6423987082665524</c:v>
                </c:pt>
                <c:pt idx="6">
                  <c:v>6173260391428934</c:v>
                </c:pt>
                <c:pt idx="7">
                  <c:v>5934470342486079</c:v>
                </c:pt>
                <c:pt idx="8">
                  <c:v>5705928596947935</c:v>
                </c:pt>
                <c:pt idx="9">
                  <c:v>5487981409533569</c:v>
                </c:pt>
                <c:pt idx="10">
                  <c:v>5279140938784232</c:v>
                </c:pt>
                <c:pt idx="11">
                  <c:v>5079038322726614</c:v>
                </c:pt>
                <c:pt idx="12">
                  <c:v>4888945383497467</c:v>
                </c:pt>
                <c:pt idx="13">
                  <c:v>4707078034554299</c:v>
                </c:pt>
                <c:pt idx="14">
                  <c:v>4534386484947477</c:v>
                </c:pt>
                <c:pt idx="15">
                  <c:v>4369637826078056</c:v>
                </c:pt>
                <c:pt idx="16">
                  <c:v>4211130389768981</c:v>
                </c:pt>
                <c:pt idx="17">
                  <c:v>4059693690977409</c:v>
                </c:pt>
                <c:pt idx="18">
                  <c:v>3915051365799600.5</c:v>
                </c:pt>
                <c:pt idx="19">
                  <c:v>3777391503419801.5</c:v>
                </c:pt>
                <c:pt idx="20">
                  <c:v>3645283068023184</c:v>
                </c:pt>
                <c:pt idx="21">
                  <c:v>3518164805781539.5</c:v>
                </c:pt>
                <c:pt idx="22">
                  <c:v>3397013458479484</c:v>
                </c:pt>
                <c:pt idx="23">
                  <c:v>3281239170397494.5</c:v>
                </c:pt>
                <c:pt idx="24">
                  <c:v>3169704805721946</c:v>
                </c:pt>
                <c:pt idx="25">
                  <c:v>3061861028118759.5</c:v>
                </c:pt>
                <c:pt idx="26">
                  <c:v>2958950718217559</c:v>
                </c:pt>
                <c:pt idx="27">
                  <c:v>2860407854364167.5</c:v>
                </c:pt>
                <c:pt idx="28">
                  <c:v>2765949848676798.5</c:v>
                </c:pt>
                <c:pt idx="29">
                  <c:v>2673850634950063.5</c:v>
                </c:pt>
                <c:pt idx="30">
                  <c:v>2587131206289060</c:v>
                </c:pt>
                <c:pt idx="31">
                  <c:v>2501974474969103.5</c:v>
                </c:pt>
                <c:pt idx="32">
                  <c:v>2421528536526037</c:v>
                </c:pt>
                <c:pt idx="33">
                  <c:v>2343481311620845.5</c:v>
                </c:pt>
                <c:pt idx="34">
                  <c:v>2267154283863490</c:v>
                </c:pt>
                <c:pt idx="35">
                  <c:v>2194801256365321</c:v>
                </c:pt>
                <c:pt idx="36">
                  <c:v>2124089956570445.5</c:v>
                </c:pt>
                <c:pt idx="37">
                  <c:v>2056249407246207.2</c:v>
                </c:pt>
                <c:pt idx="38">
                  <c:v>1991737917425052.2</c:v>
                </c:pt>
                <c:pt idx="39">
                  <c:v>1928587019507919.5</c:v>
                </c:pt>
                <c:pt idx="40">
                  <c:v>1868287424157004</c:v>
                </c:pt>
                <c:pt idx="41">
                  <c:v>1808986327497433.5</c:v>
                </c:pt>
                <c:pt idx="42">
                  <c:v>1752466504942248.3</c:v>
                </c:pt>
                <c:pt idx="43">
                  <c:v>1697738957393044.5</c:v>
                </c:pt>
                <c:pt idx="44">
                  <c:v>1645338890713628</c:v>
                </c:pt>
                <c:pt idx="45">
                  <c:v>1593108604489832</c:v>
                </c:pt>
                <c:pt idx="46">
                  <c:v>1543732199206721.2</c:v>
                </c:pt>
                <c:pt idx="47">
                  <c:v>1496477716623886.7</c:v>
                </c:pt>
                <c:pt idx="48">
                  <c:v>1449931398779417.8</c:v>
                </c:pt>
                <c:pt idx="49">
                  <c:v>1404758742900291.5</c:v>
                </c:pt>
                <c:pt idx="50">
                  <c:v>1360149093226980.5</c:v>
                </c:pt>
                <c:pt idx="51">
                  <c:v>1318339533162401.5</c:v>
                </c:pt>
                <c:pt idx="52">
                  <c:v>1276366761606454.7</c:v>
                </c:pt>
                <c:pt idx="53">
                  <c:v>1236397842097094.7</c:v>
                </c:pt>
                <c:pt idx="54">
                  <c:v>1198299764662150</c:v>
                </c:pt>
                <c:pt idx="55">
                  <c:v>1159718392552213</c:v>
                </c:pt>
                <c:pt idx="56">
                  <c:v>1124068435231203.9</c:v>
                </c:pt>
                <c:pt idx="57">
                  <c:v>1088875466666235.9</c:v>
                </c:pt>
                <c:pt idx="58">
                  <c:v>1054362756301558.5</c:v>
                </c:pt>
                <c:pt idx="59">
                  <c:v>1021130950439912.6</c:v>
                </c:pt>
                <c:pt idx="60">
                  <c:v>989273239742595.87</c:v>
                </c:pt>
                <c:pt idx="61">
                  <c:v>957932029709215.12</c:v>
                </c:pt>
                <c:pt idx="62">
                  <c:v>927748163589670.12</c:v>
                </c:pt>
                <c:pt idx="63">
                  <c:v>898480048585541.12</c:v>
                </c:pt>
                <c:pt idx="64">
                  <c:v>870180597539535.87</c:v>
                </c:pt>
                <c:pt idx="65">
                  <c:v>842429428213472.37</c:v>
                </c:pt>
                <c:pt idx="66">
                  <c:v>815349169601617.62</c:v>
                </c:pt>
                <c:pt idx="67">
                  <c:v>789885038373114.25</c:v>
                </c:pt>
                <c:pt idx="68">
                  <c:v>764544536336321.25</c:v>
                </c:pt>
                <c:pt idx="69">
                  <c:v>739269059207523.62</c:v>
                </c:pt>
                <c:pt idx="70">
                  <c:v>716021326909982.25</c:v>
                </c:pt>
                <c:pt idx="71">
                  <c:v>692266332516810.37</c:v>
                </c:pt>
                <c:pt idx="72">
                  <c:v>670072716891285.62</c:v>
                </c:pt>
                <c:pt idx="73">
                  <c:v>647815047428276.62</c:v>
                </c:pt>
                <c:pt idx="74">
                  <c:v>625785549285674.75</c:v>
                </c:pt>
                <c:pt idx="75">
                  <c:v>605310548051345</c:v>
                </c:pt>
                <c:pt idx="76">
                  <c:v>585736810058109.62</c:v>
                </c:pt>
                <c:pt idx="77">
                  <c:v>565764364024041.25</c:v>
                </c:pt>
                <c:pt idx="78">
                  <c:v>547201082126506.75</c:v>
                </c:pt>
                <c:pt idx="79">
                  <c:v>527604469491761.62</c:v>
                </c:pt>
                <c:pt idx="80">
                  <c:v>510336898699577.94</c:v>
                </c:pt>
                <c:pt idx="81">
                  <c:v>492560090053309</c:v>
                </c:pt>
                <c:pt idx="82">
                  <c:v>475180905095689</c:v>
                </c:pt>
                <c:pt idx="83">
                  <c:v>459202143652602.69</c:v>
                </c:pt>
                <c:pt idx="84">
                  <c:v>443262186820079</c:v>
                </c:pt>
                <c:pt idx="85">
                  <c:v>427663240158095.31</c:v>
                </c:pt>
                <c:pt idx="86">
                  <c:v>412882329625965.69</c:v>
                </c:pt>
                <c:pt idx="87">
                  <c:v>398440603892279.87</c:v>
                </c:pt>
                <c:pt idx="88">
                  <c:v>383485783775520.37</c:v>
                </c:pt>
                <c:pt idx="89">
                  <c:v>369980620623459.94</c:v>
                </c:pt>
                <c:pt idx="90">
                  <c:v>357248496720554.87</c:v>
                </c:pt>
                <c:pt idx="91">
                  <c:v>343838392676644.37</c:v>
                </c:pt>
                <c:pt idx="92">
                  <c:v>332146803764288.44</c:v>
                </c:pt>
                <c:pt idx="93">
                  <c:v>319845468471968.87</c:v>
                </c:pt>
                <c:pt idx="94">
                  <c:v>308328309726347.12</c:v>
                </c:pt>
                <c:pt idx="95">
                  <c:v>297486533618272.75</c:v>
                </c:pt>
                <c:pt idx="96">
                  <c:v>286159504933067.44</c:v>
                </c:pt>
                <c:pt idx="97">
                  <c:v>275995855894748.12</c:v>
                </c:pt>
                <c:pt idx="98">
                  <c:v>266561282447647.94</c:v>
                </c:pt>
                <c:pt idx="99">
                  <c:v>257278579155500.41</c:v>
                </c:pt>
                <c:pt idx="100">
                  <c:v>248464201574708.03</c:v>
                </c:pt>
                <c:pt idx="101">
                  <c:v>239353533984801.22</c:v>
                </c:pt>
                <c:pt idx="102">
                  <c:v>230735795418580.44</c:v>
                </c:pt>
                <c:pt idx="103">
                  <c:v>223373924361849.44</c:v>
                </c:pt>
                <c:pt idx="104">
                  <c:v>215198340747011.87</c:v>
                </c:pt>
                <c:pt idx="105">
                  <c:v>207868114746147.03</c:v>
                </c:pt>
                <c:pt idx="106">
                  <c:v>200582095845874.59</c:v>
                </c:pt>
                <c:pt idx="107">
                  <c:v>195076737089164.28</c:v>
                </c:pt>
                <c:pt idx="108">
                  <c:v>188827143272111.87</c:v>
                </c:pt>
                <c:pt idx="109">
                  <c:v>181792244025413.81</c:v>
                </c:pt>
                <c:pt idx="110">
                  <c:v>176767128050752.59</c:v>
                </c:pt>
                <c:pt idx="111">
                  <c:v>171337315296003.25</c:v>
                </c:pt>
                <c:pt idx="112">
                  <c:v>165922769955162.66</c:v>
                </c:pt>
                <c:pt idx="113">
                  <c:v>160467915272472.62</c:v>
                </c:pt>
                <c:pt idx="114">
                  <c:v>156778410898417.81</c:v>
                </c:pt>
                <c:pt idx="115">
                  <c:v>151704996608907.37</c:v>
                </c:pt>
              </c:numCache>
            </c:numRef>
          </c:xVal>
          <c:yVal>
            <c:numRef>
              <c:f>Calc!$S$15:$S$130</c:f>
              <c:numCache>
                <c:formatCode>0</c:formatCode>
                <c:ptCount val="116"/>
                <c:pt idx="0">
                  <c:v>12239.261453411029</c:v>
                </c:pt>
                <c:pt idx="1">
                  <c:v>11896.999443241515</c:v>
                </c:pt>
                <c:pt idx="2">
                  <c:v>11548.338749765946</c:v>
                </c:pt>
                <c:pt idx="3">
                  <c:v>11191.753993899069</c:v>
                </c:pt>
                <c:pt idx="4">
                  <c:v>10854.213133602732</c:v>
                </c:pt>
                <c:pt idx="5">
                  <c:v>10533.519313133955</c:v>
                </c:pt>
                <c:pt idx="6">
                  <c:v>10201.603865059418</c:v>
                </c:pt>
                <c:pt idx="7">
                  <c:v>9915.3576731757494</c:v>
                </c:pt>
                <c:pt idx="8">
                  <c:v>9612.2565364752263</c:v>
                </c:pt>
                <c:pt idx="9">
                  <c:v>9312.2717517796282</c:v>
                </c:pt>
                <c:pt idx="10">
                  <c:v>9056.0371415925947</c:v>
                </c:pt>
                <c:pt idx="11">
                  <c:v>8779.2780096452225</c:v>
                </c:pt>
                <c:pt idx="12">
                  <c:v>8526.1375341956973</c:v>
                </c:pt>
                <c:pt idx="13">
                  <c:v>8284.3575706910342</c:v>
                </c:pt>
                <c:pt idx="14">
                  <c:v>8026.2451927149241</c:v>
                </c:pt>
                <c:pt idx="15">
                  <c:v>7823.6570120847082</c:v>
                </c:pt>
                <c:pt idx="16">
                  <c:v>7593.911736956773</c:v>
                </c:pt>
                <c:pt idx="17">
                  <c:v>7363.8319372213728</c:v>
                </c:pt>
                <c:pt idx="18">
                  <c:v>7188.0199208736421</c:v>
                </c:pt>
                <c:pt idx="19">
                  <c:v>6966.8707554926832</c:v>
                </c:pt>
                <c:pt idx="20">
                  <c:v>6779.8277646257875</c:v>
                </c:pt>
                <c:pt idx="21">
                  <c:v>6604.351744052502</c:v>
                </c:pt>
                <c:pt idx="22">
                  <c:v>6398.2326968179159</c:v>
                </c:pt>
                <c:pt idx="23">
                  <c:v>6262.3803072846267</c:v>
                </c:pt>
                <c:pt idx="24">
                  <c:v>6085.7113358876932</c:v>
                </c:pt>
                <c:pt idx="25">
                  <c:v>5900.4519146604607</c:v>
                </c:pt>
                <c:pt idx="26">
                  <c:v>5785.574166313927</c:v>
                </c:pt>
                <c:pt idx="27">
                  <c:v>5611.8403716299599</c:v>
                </c:pt>
                <c:pt idx="28">
                  <c:v>5467.4265611713436</c:v>
                </c:pt>
                <c:pt idx="29">
                  <c:v>5349.9802483296198</c:v>
                </c:pt>
                <c:pt idx="30">
                  <c:v>5168.787060027822</c:v>
                </c:pt>
                <c:pt idx="31">
                  <c:v>5089.6145818650366</c:v>
                </c:pt>
                <c:pt idx="32">
                  <c:v>4943.7599621651152</c:v>
                </c:pt>
                <c:pt idx="33">
                  <c:v>4790.6850212775289</c:v>
                </c:pt>
                <c:pt idx="34">
                  <c:v>4719.3277320563875</c:v>
                </c:pt>
                <c:pt idx="35">
                  <c:v>4577.3234446342249</c:v>
                </c:pt>
                <c:pt idx="36">
                  <c:v>4491.4814558431954</c:v>
                </c:pt>
                <c:pt idx="37">
                  <c:v>4410.0930328305221</c:v>
                </c:pt>
                <c:pt idx="38">
                  <c:v>4266.9900037016987</c:v>
                </c:pt>
                <c:pt idx="39">
                  <c:v>4224.5739305223788</c:v>
                </c:pt>
                <c:pt idx="40">
                  <c:v>4120.6201430634583</c:v>
                </c:pt>
                <c:pt idx="41">
                  <c:v>3965.8443419562241</c:v>
                </c:pt>
                <c:pt idx="42">
                  <c:v>3936.4750886248189</c:v>
                </c:pt>
                <c:pt idx="43">
                  <c:v>3818.912323904256</c:v>
                </c:pt>
                <c:pt idx="44">
                  <c:v>3694.5917506813894</c:v>
                </c:pt>
                <c:pt idx="45">
                  <c:v>3671.9185356088174</c:v>
                </c:pt>
                <c:pt idx="46">
                  <c:v>3537.8329508269521</c:v>
                </c:pt>
                <c:pt idx="47">
                  <c:v>3521.4401837524711</c:v>
                </c:pt>
                <c:pt idx="48">
                  <c:v>3453.1246953820719</c:v>
                </c:pt>
                <c:pt idx="49">
                  <c:v>3325.6657212670284</c:v>
                </c:pt>
                <c:pt idx="50">
                  <c:v>3349.3210907264702</c:v>
                </c:pt>
                <c:pt idx="51">
                  <c:v>3246.9352540642317</c:v>
                </c:pt>
                <c:pt idx="52">
                  <c:v>3127.1012501200998</c:v>
                </c:pt>
                <c:pt idx="53">
                  <c:v>3147.91694378903</c:v>
                </c:pt>
                <c:pt idx="54">
                  <c:v>3014.1590384349856</c:v>
                </c:pt>
                <c:pt idx="55">
                  <c:v>2981.0455600933715</c:v>
                </c:pt>
                <c:pt idx="56">
                  <c:v>2943.8880821737084</c:v>
                </c:pt>
                <c:pt idx="57">
                  <c:v>2800.3475198653255</c:v>
                </c:pt>
                <c:pt idx="58">
                  <c:v>2872.0450190821198</c:v>
                </c:pt>
                <c:pt idx="59">
                  <c:v>2776.4500294565883</c:v>
                </c:pt>
                <c:pt idx="60">
                  <c:v>2658.2516483261279</c:v>
                </c:pt>
                <c:pt idx="61">
                  <c:v>2753.6113244703429</c:v>
                </c:pt>
                <c:pt idx="62">
                  <c:v>2652.3467773312777</c:v>
                </c:pt>
                <c:pt idx="63">
                  <c:v>2557.134653216237</c:v>
                </c:pt>
                <c:pt idx="64">
                  <c:v>2597.5220322482869</c:v>
                </c:pt>
                <c:pt idx="65">
                  <c:v>2459.082061928917</c:v>
                </c:pt>
                <c:pt idx="66">
                  <c:v>2504.1202858064844</c:v>
                </c:pt>
                <c:pt idx="67">
                  <c:v>2465.4234449655437</c:v>
                </c:pt>
                <c:pt idx="68">
                  <c:v>2314.8800764073035</c:v>
                </c:pt>
                <c:pt idx="69">
                  <c:v>2441.804463272385</c:v>
                </c:pt>
                <c:pt idx="70">
                  <c:v>2352.3577505276598</c:v>
                </c:pt>
                <c:pt idx="71">
                  <c:v>2244.2902945045757</c:v>
                </c:pt>
                <c:pt idx="72">
                  <c:v>2358.4543219777624</c:v>
                </c:pt>
                <c:pt idx="73">
                  <c:v>2140.2899872862608</c:v>
                </c:pt>
                <c:pt idx="74">
                  <c:v>2321.3355475636536</c:v>
                </c:pt>
                <c:pt idx="75">
                  <c:v>2266.8278352097973</c:v>
                </c:pt>
                <c:pt idx="76">
                  <c:v>2087.5520143271865</c:v>
                </c:pt>
                <c:pt idx="77">
                  <c:v>2294.1808372307</c:v>
                </c:pt>
                <c:pt idx="78">
                  <c:v>2171.9328054732687</c:v>
                </c:pt>
                <c:pt idx="79">
                  <c:v>2064.6560453111483</c:v>
                </c:pt>
                <c:pt idx="80">
                  <c:v>2263.1631656977402</c:v>
                </c:pt>
                <c:pt idx="81">
                  <c:v>2047.7666143974266</c:v>
                </c:pt>
                <c:pt idx="82">
                  <c:v>2181.4381701808952</c:v>
                </c:pt>
                <c:pt idx="83">
                  <c:v>2228.2668655045563</c:v>
                </c:pt>
                <c:pt idx="84">
                  <c:v>1865.8846726113557</c:v>
                </c:pt>
                <c:pt idx="85">
                  <c:v>2298.890438129466</c:v>
                </c:pt>
                <c:pt idx="86">
                  <c:v>2217.2228240896902</c:v>
                </c:pt>
                <c:pt idx="87">
                  <c:v>2003.442631380276</c:v>
                </c:pt>
                <c:pt idx="88">
                  <c:v>2324.5139266209717</c:v>
                </c:pt>
                <c:pt idx="89">
                  <c:v>2039.368006293153</c:v>
                </c:pt>
                <c:pt idx="90">
                  <c:v>2282.8076937265</c:v>
                </c:pt>
                <c:pt idx="91">
                  <c:v>2239.6779461424239</c:v>
                </c:pt>
                <c:pt idx="92">
                  <c:v>1905.3029929228289</c:v>
                </c:pt>
                <c:pt idx="93">
                  <c:v>2306.0072421210339</c:v>
                </c:pt>
                <c:pt idx="94">
                  <c:v>2151.0297524806838</c:v>
                </c:pt>
                <c:pt idx="95">
                  <c:v>2024.167938518905</c:v>
                </c:pt>
                <c:pt idx="96">
                  <c:v>2326.5579273562125</c:v>
                </c:pt>
                <c:pt idx="97">
                  <c:v>1941.5454790531082</c:v>
                </c:pt>
                <c:pt idx="98">
                  <c:v>2250.5512920856959</c:v>
                </c:pt>
                <c:pt idx="99">
                  <c:v>2333.48941664734</c:v>
                </c:pt>
                <c:pt idx="100">
                  <c:v>1927.3762381849185</c:v>
                </c:pt>
                <c:pt idx="101">
                  <c:v>2490.7432564044061</c:v>
                </c:pt>
                <c:pt idx="102">
                  <c:v>2347.4603454589269</c:v>
                </c:pt>
                <c:pt idx="103">
                  <c:v>1995.7048212374086</c:v>
                </c:pt>
                <c:pt idx="104">
                  <c:v>2581.1832967943742</c:v>
                </c:pt>
                <c:pt idx="105">
                  <c:v>2157.8519615738646</c:v>
                </c:pt>
                <c:pt idx="106">
                  <c:v>2526.493969817016</c:v>
                </c:pt>
                <c:pt idx="107">
                  <c:v>2584.51583340244</c:v>
                </c:pt>
                <c:pt idx="108">
                  <c:v>2040.1611192341525</c:v>
                </c:pt>
                <c:pt idx="109">
                  <c:v>2837.2358555701412</c:v>
                </c:pt>
                <c:pt idx="110">
                  <c:v>2541.0090830474655</c:v>
                </c:pt>
                <c:pt idx="111">
                  <c:v>2387.565992872057</c:v>
                </c:pt>
                <c:pt idx="112">
                  <c:v>2920.1289873634264</c:v>
                </c:pt>
                <c:pt idx="113">
                  <c:v>2378.595346314421</c:v>
                </c:pt>
                <c:pt idx="114">
                  <c:v>2896.6488337216574</c:v>
                </c:pt>
                <c:pt idx="115">
                  <c:v>2902.5858423193717</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8280128858683653</c:v>
                </c:pt>
                <c:pt idx="1">
                  <c:v>8318371307832016</c:v>
                </c:pt>
                <c:pt idx="2">
                  <c:v>8100663770522564</c:v>
                </c:pt>
                <c:pt idx="3">
                  <c:v>7819653846977320</c:v>
                </c:pt>
                <c:pt idx="4">
                  <c:v>7529106303172681</c:v>
                </c:pt>
                <c:pt idx="5">
                  <c:v>7240838114708719</c:v>
                </c:pt>
                <c:pt idx="6">
                  <c:v>6957994349400993</c:v>
                </c:pt>
                <c:pt idx="7">
                  <c:v>6685751356152515</c:v>
                </c:pt>
                <c:pt idx="8">
                  <c:v>6423987082665524</c:v>
                </c:pt>
                <c:pt idx="9">
                  <c:v>6173260391428934</c:v>
                </c:pt>
                <c:pt idx="10">
                  <c:v>5934470342486079</c:v>
                </c:pt>
                <c:pt idx="11">
                  <c:v>5705928596947935</c:v>
                </c:pt>
                <c:pt idx="12">
                  <c:v>5487981409533569</c:v>
                </c:pt>
                <c:pt idx="13">
                  <c:v>5279140938784232</c:v>
                </c:pt>
                <c:pt idx="14">
                  <c:v>5079038322726614</c:v>
                </c:pt>
                <c:pt idx="15">
                  <c:v>4888945383497467</c:v>
                </c:pt>
                <c:pt idx="16">
                  <c:v>4707078034554299</c:v>
                </c:pt>
                <c:pt idx="17">
                  <c:v>4534386484947477</c:v>
                </c:pt>
                <c:pt idx="18">
                  <c:v>4369637826078056</c:v>
                </c:pt>
                <c:pt idx="19">
                  <c:v>4211130389768981</c:v>
                </c:pt>
                <c:pt idx="20">
                  <c:v>4059693690977409</c:v>
                </c:pt>
                <c:pt idx="21">
                  <c:v>3915051365799600.5</c:v>
                </c:pt>
                <c:pt idx="22">
                  <c:v>3777391503419801.5</c:v>
                </c:pt>
                <c:pt idx="23">
                  <c:v>3645283068023184</c:v>
                </c:pt>
                <c:pt idx="24">
                  <c:v>3518164805781539.5</c:v>
                </c:pt>
                <c:pt idx="25">
                  <c:v>3397013458479484</c:v>
                </c:pt>
                <c:pt idx="26">
                  <c:v>3281239170397494.5</c:v>
                </c:pt>
                <c:pt idx="27">
                  <c:v>3169704805721946</c:v>
                </c:pt>
                <c:pt idx="28">
                  <c:v>3061861028118759.5</c:v>
                </c:pt>
                <c:pt idx="29">
                  <c:v>2958950718217559</c:v>
                </c:pt>
                <c:pt idx="30">
                  <c:v>2860407854364167.5</c:v>
                </c:pt>
                <c:pt idx="31">
                  <c:v>2765949848676798.5</c:v>
                </c:pt>
                <c:pt idx="32">
                  <c:v>2673850634950063.5</c:v>
                </c:pt>
                <c:pt idx="33">
                  <c:v>2587131206289060</c:v>
                </c:pt>
                <c:pt idx="34">
                  <c:v>2501974474969103.5</c:v>
                </c:pt>
                <c:pt idx="35">
                  <c:v>2421528536526037</c:v>
                </c:pt>
                <c:pt idx="36">
                  <c:v>2343481311620845.5</c:v>
                </c:pt>
                <c:pt idx="37">
                  <c:v>2267154283863490</c:v>
                </c:pt>
                <c:pt idx="38">
                  <c:v>2194801256365321</c:v>
                </c:pt>
                <c:pt idx="39">
                  <c:v>2124089956570445.5</c:v>
                </c:pt>
                <c:pt idx="40">
                  <c:v>2056249407246207.2</c:v>
                </c:pt>
                <c:pt idx="41">
                  <c:v>1991737917425052.2</c:v>
                </c:pt>
                <c:pt idx="42">
                  <c:v>1928587019507919.5</c:v>
                </c:pt>
                <c:pt idx="43">
                  <c:v>1868287424157004</c:v>
                </c:pt>
                <c:pt idx="44">
                  <c:v>1808986327497433.5</c:v>
                </c:pt>
                <c:pt idx="45">
                  <c:v>1752466504942248.3</c:v>
                </c:pt>
                <c:pt idx="46">
                  <c:v>1697738957393044.5</c:v>
                </c:pt>
                <c:pt idx="47">
                  <c:v>1645338890713628</c:v>
                </c:pt>
                <c:pt idx="48">
                  <c:v>1593108604489832</c:v>
                </c:pt>
                <c:pt idx="49">
                  <c:v>1543732199206721.2</c:v>
                </c:pt>
                <c:pt idx="50">
                  <c:v>1496477716623886.7</c:v>
                </c:pt>
                <c:pt idx="51">
                  <c:v>1449931398779417.8</c:v>
                </c:pt>
                <c:pt idx="52">
                  <c:v>1404758742900291.5</c:v>
                </c:pt>
                <c:pt idx="53">
                  <c:v>1360149093226980.5</c:v>
                </c:pt>
                <c:pt idx="54">
                  <c:v>1318339533162401.5</c:v>
                </c:pt>
                <c:pt idx="55">
                  <c:v>1276366761606454.7</c:v>
                </c:pt>
                <c:pt idx="56">
                  <c:v>1236397842097094.7</c:v>
                </c:pt>
                <c:pt idx="57">
                  <c:v>1198299764662150</c:v>
                </c:pt>
                <c:pt idx="58">
                  <c:v>1159718392552213</c:v>
                </c:pt>
                <c:pt idx="59">
                  <c:v>1124068435231203.9</c:v>
                </c:pt>
                <c:pt idx="60">
                  <c:v>1088875466666235.9</c:v>
                </c:pt>
                <c:pt idx="61">
                  <c:v>1054362756301558.5</c:v>
                </c:pt>
                <c:pt idx="62">
                  <c:v>1021130950439912.6</c:v>
                </c:pt>
                <c:pt idx="63">
                  <c:v>989273239742595.87</c:v>
                </c:pt>
                <c:pt idx="64">
                  <c:v>957932029709215.12</c:v>
                </c:pt>
                <c:pt idx="65">
                  <c:v>927748163589670.12</c:v>
                </c:pt>
                <c:pt idx="66">
                  <c:v>898480048585541.12</c:v>
                </c:pt>
                <c:pt idx="67">
                  <c:v>870180597539535.87</c:v>
                </c:pt>
                <c:pt idx="68">
                  <c:v>842429428213472.37</c:v>
                </c:pt>
                <c:pt idx="69">
                  <c:v>815349169601617.62</c:v>
                </c:pt>
                <c:pt idx="70">
                  <c:v>789885038373114.25</c:v>
                </c:pt>
                <c:pt idx="71">
                  <c:v>764544536336321.25</c:v>
                </c:pt>
                <c:pt idx="72">
                  <c:v>739269059207523.62</c:v>
                </c:pt>
                <c:pt idx="73">
                  <c:v>716021326909982.25</c:v>
                </c:pt>
                <c:pt idx="74">
                  <c:v>692266332516810.37</c:v>
                </c:pt>
                <c:pt idx="75">
                  <c:v>670072716891285.62</c:v>
                </c:pt>
                <c:pt idx="76">
                  <c:v>647815047428276.62</c:v>
                </c:pt>
                <c:pt idx="77">
                  <c:v>625785549285674.75</c:v>
                </c:pt>
                <c:pt idx="78">
                  <c:v>605310548051345</c:v>
                </c:pt>
                <c:pt idx="79">
                  <c:v>585736810058109.62</c:v>
                </c:pt>
                <c:pt idx="80">
                  <c:v>565764364024041.25</c:v>
                </c:pt>
                <c:pt idx="81">
                  <c:v>547201082126506.75</c:v>
                </c:pt>
                <c:pt idx="82">
                  <c:v>527604469491761.62</c:v>
                </c:pt>
                <c:pt idx="83">
                  <c:v>510336898699577.94</c:v>
                </c:pt>
                <c:pt idx="84">
                  <c:v>492560090053309</c:v>
                </c:pt>
                <c:pt idx="85">
                  <c:v>475180905095689</c:v>
                </c:pt>
                <c:pt idx="86">
                  <c:v>459202143652602.69</c:v>
                </c:pt>
                <c:pt idx="87">
                  <c:v>443262186820079</c:v>
                </c:pt>
                <c:pt idx="88">
                  <c:v>427663240158095.31</c:v>
                </c:pt>
                <c:pt idx="89">
                  <c:v>412882329625965.69</c:v>
                </c:pt>
                <c:pt idx="90">
                  <c:v>398440603892279.87</c:v>
                </c:pt>
                <c:pt idx="91">
                  <c:v>383485783775520.37</c:v>
                </c:pt>
                <c:pt idx="92">
                  <c:v>369980620623459.94</c:v>
                </c:pt>
                <c:pt idx="93">
                  <c:v>357248496720554.87</c:v>
                </c:pt>
                <c:pt idx="94">
                  <c:v>343838392676644.37</c:v>
                </c:pt>
                <c:pt idx="95">
                  <c:v>332146803764288.44</c:v>
                </c:pt>
                <c:pt idx="96">
                  <c:v>319845468471968.87</c:v>
                </c:pt>
                <c:pt idx="97">
                  <c:v>308328309726347.12</c:v>
                </c:pt>
                <c:pt idx="98">
                  <c:v>297486533618272.75</c:v>
                </c:pt>
                <c:pt idx="99">
                  <c:v>286159504933067.44</c:v>
                </c:pt>
                <c:pt idx="100">
                  <c:v>275995855894748.12</c:v>
                </c:pt>
                <c:pt idx="101">
                  <c:v>266561282447647.94</c:v>
                </c:pt>
                <c:pt idx="102">
                  <c:v>257278579155500.41</c:v>
                </c:pt>
                <c:pt idx="103">
                  <c:v>248464201574708.03</c:v>
                </c:pt>
                <c:pt idx="104">
                  <c:v>239353533984801.22</c:v>
                </c:pt>
                <c:pt idx="105">
                  <c:v>230735795418580.44</c:v>
                </c:pt>
                <c:pt idx="106">
                  <c:v>223373924361849.44</c:v>
                </c:pt>
                <c:pt idx="107">
                  <c:v>215198340747011.87</c:v>
                </c:pt>
                <c:pt idx="108">
                  <c:v>207868114746147.03</c:v>
                </c:pt>
                <c:pt idx="109">
                  <c:v>200582095845874.59</c:v>
                </c:pt>
                <c:pt idx="110">
                  <c:v>195076737089164.28</c:v>
                </c:pt>
                <c:pt idx="111">
                  <c:v>188827143272111.87</c:v>
                </c:pt>
                <c:pt idx="112">
                  <c:v>181792244025413.81</c:v>
                </c:pt>
                <c:pt idx="113">
                  <c:v>176767128050752.59</c:v>
                </c:pt>
                <c:pt idx="114">
                  <c:v>171337315296003.25</c:v>
                </c:pt>
                <c:pt idx="115">
                  <c:v>165922769955162.66</c:v>
                </c:pt>
                <c:pt idx="116">
                  <c:v>160467915272472.62</c:v>
                </c:pt>
                <c:pt idx="117">
                  <c:v>156778410898417.81</c:v>
                </c:pt>
                <c:pt idx="118">
                  <c:v>151704996608907.37</c:v>
                </c:pt>
              </c:numCache>
            </c:numRef>
          </c:xVal>
          <c:yVal>
            <c:numRef>
              <c:f>Calc!$U$12:$U$130</c:f>
              <c:numCache>
                <c:formatCode>0</c:formatCode>
                <c:ptCount val="119"/>
                <c:pt idx="0">
                  <c:v>13250.497009770344</c:v>
                </c:pt>
                <c:pt idx="1">
                  <c:v>13305.674351023446</c:v>
                </c:pt>
                <c:pt idx="2">
                  <c:v>12991.559451297937</c:v>
                </c:pt>
                <c:pt idx="3">
                  <c:v>12586.109988926681</c:v>
                </c:pt>
                <c:pt idx="4">
                  <c:v>12166.899364822464</c:v>
                </c:pt>
                <c:pt idx="5">
                  <c:v>11750.977462289968</c:v>
                </c:pt>
                <c:pt idx="6">
                  <c:v>11342.882078567281</c:v>
                </c:pt>
                <c:pt idx="7">
                  <c:v>10950.081803565017</c:v>
                </c:pt>
                <c:pt idx="8">
                  <c:v>10572.400536603585</c:v>
                </c:pt>
                <c:pt idx="9">
                  <c:v>10210.644621077592</c:v>
                </c:pt>
                <c:pt idx="10">
                  <c:v>9866.111247515435</c:v>
                </c:pt>
                <c:pt idx="11">
                  <c:v>9536.3644304322661</c:v>
                </c:pt>
                <c:pt idx="12">
                  <c:v>9221.9037564189002</c:v>
                </c:pt>
                <c:pt idx="13">
                  <c:v>8920.5825236367218</c:v>
                </c:pt>
                <c:pt idx="14">
                  <c:v>8631.8685270771639</c:v>
                </c:pt>
                <c:pt idx="15">
                  <c:v>8357.5967894863024</c:v>
                </c:pt>
                <c:pt idx="16">
                  <c:v>8095.1931778216021</c:v>
                </c:pt>
                <c:pt idx="17">
                  <c:v>7846.0286819176999</c:v>
                </c:pt>
                <c:pt idx="18">
                  <c:v>7608.3244246364175</c:v>
                </c:pt>
                <c:pt idx="19">
                  <c:v>7379.6251886003156</c:v>
                </c:pt>
                <c:pt idx="20">
                  <c:v>7161.1278226222948</c:v>
                </c:pt>
                <c:pt idx="21">
                  <c:v>6952.4335806553263</c:v>
                </c:pt>
                <c:pt idx="22">
                  <c:v>6753.8138433598051</c:v>
                </c:pt>
                <c:pt idx="23">
                  <c:v>6563.2038697670323</c:v>
                </c:pt>
                <c:pt idx="24">
                  <c:v>6379.7938661870521</c:v>
                </c:pt>
                <c:pt idx="25">
                  <c:v>6204.9931046713718</c:v>
                </c:pt>
                <c:pt idx="26">
                  <c:v>6037.9505238719084</c:v>
                </c:pt>
                <c:pt idx="27">
                  <c:v>5877.025430469148</c:v>
                </c:pt>
                <c:pt idx="28">
                  <c:v>5721.4252256875643</c:v>
                </c:pt>
                <c:pt idx="29">
                  <c:v>5572.9431746073169</c:v>
                </c:pt>
                <c:pt idx="30">
                  <c:v>5430.7626043775672</c:v>
                </c:pt>
                <c:pt idx="31">
                  <c:v>5294.4757888109325</c:v>
                </c:pt>
                <c:pt idx="32">
                  <c:v>5161.5923083301868</c:v>
                </c:pt>
                <c:pt idx="33">
                  <c:v>5036.4709414967292</c:v>
                </c:pt>
                <c:pt idx="34">
                  <c:v>4913.6042807917347</c:v>
                </c:pt>
                <c:pt idx="35">
                  <c:v>4797.5344919380295</c:v>
                </c:pt>
                <c:pt idx="36">
                  <c:v>4684.9256382073409</c:v>
                </c:pt>
                <c:pt idx="37">
                  <c:v>4574.7987360033585</c:v>
                </c:pt>
                <c:pt idx="38">
                  <c:v>4470.4056393825476</c:v>
                </c:pt>
                <c:pt idx="39">
                  <c:v>4368.381276243681</c:v>
                </c:pt>
                <c:pt idx="40">
                  <c:v>4270.4989171317102</c:v>
                </c:pt>
                <c:pt idx="41">
                  <c:v>4177.4198239282814</c:v>
                </c:pt>
                <c:pt idx="42">
                  <c:v>4086.3038331271919</c:v>
                </c:pt>
                <c:pt idx="43">
                  <c:v>3999.3017863389878</c:v>
                </c:pt>
                <c:pt idx="44">
                  <c:v>3913.7404031133965</c:v>
                </c:pt>
                <c:pt idx="45">
                  <c:v>3832.1919247564424</c:v>
                </c:pt>
                <c:pt idx="46">
                  <c:v>3753.2293940003019</c:v>
                </c:pt>
                <c:pt idx="47">
                  <c:v>3677.6250217583843</c:v>
                </c:pt>
                <c:pt idx="48">
                  <c:v>3602.2656137995214</c:v>
                </c:pt>
                <c:pt idx="49">
                  <c:v>3531.023870008793</c:v>
                </c:pt>
                <c:pt idx="50">
                  <c:v>3462.843699301201</c:v>
                </c:pt>
                <c:pt idx="51">
                  <c:v>3395.6852897073027</c:v>
                </c:pt>
                <c:pt idx="52">
                  <c:v>3330.5088403883356</c:v>
                </c:pt>
                <c:pt idx="53">
                  <c:v>3266.144713141769</c:v>
                </c:pt>
                <c:pt idx="54">
                  <c:v>3205.8206383322431</c:v>
                </c:pt>
                <c:pt idx="55">
                  <c:v>3145.2610771363552</c:v>
                </c:pt>
                <c:pt idx="56">
                  <c:v>3087.5927331783137</c:v>
                </c:pt>
                <c:pt idx="57">
                  <c:v>3032.6236957204965</c:v>
                </c:pt>
                <c:pt idx="58">
                  <c:v>2976.9573463540096</c:v>
                </c:pt>
                <c:pt idx="59">
                  <c:v>2925.5205292942942</c:v>
                </c:pt>
                <c:pt idx="60">
                  <c:v>2874.7430691822228</c:v>
                </c:pt>
                <c:pt idx="61">
                  <c:v>2824.9471058020172</c:v>
                </c:pt>
                <c:pt idx="62">
                  <c:v>2776.9992694756575</c:v>
                </c:pt>
                <c:pt idx="63">
                  <c:v>2731.0340184565903</c:v>
                </c:pt>
                <c:pt idx="64">
                  <c:v>2685.8139899331031</c:v>
                </c:pt>
                <c:pt idx="65">
                  <c:v>2642.2638115761983</c:v>
                </c:pt>
                <c:pt idx="66">
                  <c:v>2600.0349061221405</c:v>
                </c:pt>
                <c:pt idx="67">
                  <c:v>2559.2036177916516</c:v>
                </c:pt>
                <c:pt idx="68">
                  <c:v>2519.1634066080969</c:v>
                </c:pt>
                <c:pt idx="69">
                  <c:v>2480.0912053259126</c:v>
                </c:pt>
                <c:pt idx="70">
                  <c:v>2443.3508006238499</c:v>
                </c:pt>
                <c:pt idx="71">
                  <c:v>2406.7887717907961</c:v>
                </c:pt>
                <c:pt idx="72">
                  <c:v>2370.3205628259338</c:v>
                </c:pt>
                <c:pt idx="73">
                  <c:v>2336.7780443181437</c:v>
                </c:pt>
                <c:pt idx="74">
                  <c:v>2302.5036329954669</c:v>
                </c:pt>
                <c:pt idx="75">
                  <c:v>2270.4820253243961</c:v>
                </c:pt>
                <c:pt idx="76">
                  <c:v>2238.3679988745043</c:v>
                </c:pt>
                <c:pt idx="77">
                  <c:v>2206.5831847813165</c:v>
                </c:pt>
                <c:pt idx="78">
                  <c:v>2177.0412449886699</c:v>
                </c:pt>
                <c:pt idx="79">
                  <c:v>2148.7996745635764</c:v>
                </c:pt>
                <c:pt idx="80">
                  <c:v>2119.9828363374054</c:v>
                </c:pt>
                <c:pt idx="81">
                  <c:v>2093.1991819730088</c:v>
                </c:pt>
                <c:pt idx="82">
                  <c:v>2064.9246073358754</c:v>
                </c:pt>
                <c:pt idx="83">
                  <c:v>2040.0104434308369</c:v>
                </c:pt>
                <c:pt idx="84">
                  <c:v>2014.3615360279423</c:v>
                </c:pt>
                <c:pt idx="85">
                  <c:v>1989.2863318905941</c:v>
                </c:pt>
                <c:pt idx="86">
                  <c:v>1966.2317003860421</c:v>
                </c:pt>
                <c:pt idx="87">
                  <c:v>1943.2330573259255</c:v>
                </c:pt>
                <c:pt idx="88">
                  <c:v>1920.7264338662708</c:v>
                </c:pt>
                <c:pt idx="89">
                  <c:v>1899.4000972266158</c:v>
                </c:pt>
                <c:pt idx="90">
                  <c:v>1878.5631464863573</c:v>
                </c:pt>
                <c:pt idx="91">
                  <c:v>1856.9858879336971</c:v>
                </c:pt>
                <c:pt idx="92">
                  <c:v>1837.5002374977353</c:v>
                </c:pt>
                <c:pt idx="93">
                  <c:v>1819.129951046104</c:v>
                </c:pt>
                <c:pt idx="94">
                  <c:v>1799.7814547141918</c:v>
                </c:pt>
                <c:pt idx="95">
                  <c:v>1782.9124830459466</c:v>
                </c:pt>
                <c:pt idx="96">
                  <c:v>1765.1637511940748</c:v>
                </c:pt>
                <c:pt idx="97">
                  <c:v>1748.5464525501538</c:v>
                </c:pt>
                <c:pt idx="98">
                  <c:v>1732.903616031391</c:v>
                </c:pt>
                <c:pt idx="99">
                  <c:v>1716.560642684612</c:v>
                </c:pt>
                <c:pt idx="100">
                  <c:v>1701.8962280392936</c:v>
                </c:pt>
                <c:pt idx="101">
                  <c:v>1688.2837453071206</c:v>
                </c:pt>
                <c:pt idx="102">
                  <c:v>1674.8903853443464</c:v>
                </c:pt>
                <c:pt idx="103">
                  <c:v>1662.1727396249985</c:v>
                </c:pt>
                <c:pt idx="104">
                  <c:v>1649.0275978820728</c:v>
                </c:pt>
                <c:pt idx="105">
                  <c:v>1636.5936687722074</c:v>
                </c:pt>
                <c:pt idx="106">
                  <c:v>1625.971742598424</c:v>
                </c:pt>
                <c:pt idx="107">
                  <c:v>1614.175767782348</c:v>
                </c:pt>
                <c:pt idx="108">
                  <c:v>1603.5995000348785</c:v>
                </c:pt>
                <c:pt idx="109">
                  <c:v>1593.0870156048877</c:v>
                </c:pt>
                <c:pt idx="110">
                  <c:v>1585.1437205073048</c:v>
                </c:pt>
                <c:pt idx="111">
                  <c:v>1576.1266209643604</c:v>
                </c:pt>
                <c:pt idx="112">
                  <c:v>1565.9764594276257</c:v>
                </c:pt>
                <c:pt idx="113">
                  <c:v>1558.7260728769475</c:v>
                </c:pt>
                <c:pt idx="114">
                  <c:v>1550.8917777943566</c:v>
                </c:pt>
                <c:pt idx="115">
                  <c:v>1543.0795109899241</c:v>
                </c:pt>
                <c:pt idx="116">
                  <c:v>1535.2090846700726</c:v>
                </c:pt>
                <c:pt idx="117">
                  <c:v>1529.8857581981656</c:v>
                </c:pt>
                <c:pt idx="118">
                  <c:v>1522.5656854045887</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2746.5109066905734</c:v>
                </c:pt>
              </c:numCache>
            </c:numRef>
          </c:yVal>
          <c:smooth val="0"/>
        </c:ser>
        <c:dLbls>
          <c:showLegendKey val="0"/>
          <c:showVal val="0"/>
          <c:showCatName val="0"/>
          <c:showSerName val="0"/>
          <c:showPercent val="0"/>
          <c:showBubbleSize val="0"/>
        </c:dLbls>
        <c:axId val="387501056"/>
        <c:axId val="387534208"/>
      </c:scatterChart>
      <c:valAx>
        <c:axId val="387501056"/>
        <c:scaling>
          <c:orientation val="minMax"/>
          <c:min val="0"/>
        </c:scaling>
        <c:delete val="0"/>
        <c:axPos val="b"/>
        <c:majorGridlines/>
        <c:title>
          <c:tx>
            <c:rich>
              <a:bodyPr/>
              <a:lstStyle/>
              <a:p>
                <a:pPr>
                  <a:defRPr sz="1200">
                    <a:latin typeface="Arial" pitchFamily="34" charset="0"/>
                    <a:cs typeface="Arial" pitchFamily="34" charset="0"/>
                  </a:defRPr>
                </a:pPr>
                <a:r>
                  <a:rPr lang="en-US" sz="1200">
                    <a:latin typeface="Arial" pitchFamily="34" charset="0"/>
                    <a:cs typeface="Arial" pitchFamily="34" charset="0"/>
                  </a:rPr>
                  <a:t>Minority Carrier Density (cm</a:t>
                </a:r>
                <a:r>
                  <a:rPr lang="en-US" sz="1200" baseline="30000">
                    <a:latin typeface="Arial" pitchFamily="34" charset="0"/>
                    <a:cs typeface="Arial" pitchFamily="34" charset="0"/>
                  </a:rPr>
                  <a:t>-3</a:t>
                </a:r>
                <a:r>
                  <a:rPr lang="en-US" sz="1200">
                    <a:latin typeface="Arial" pitchFamily="34" charset="0"/>
                    <a:cs typeface="Arial" pitchFamily="34" charset="0"/>
                  </a:rPr>
                  <a:t>)</a:t>
                </a:r>
              </a:p>
            </c:rich>
          </c:tx>
          <c:overlay val="0"/>
        </c:title>
        <c:numFmt formatCode="0.00E+00" sourceLinked="1"/>
        <c:majorTickMark val="out"/>
        <c:minorTickMark val="none"/>
        <c:tickLblPos val="nextTo"/>
        <c:txPr>
          <a:bodyPr/>
          <a:lstStyle/>
          <a:p>
            <a:pPr>
              <a:defRPr sz="1000" b="1" baseline="0">
                <a:latin typeface="Arial" pitchFamily="34" charset="0"/>
                <a:cs typeface="Arial" pitchFamily="34" charset="0"/>
              </a:defRPr>
            </a:pPr>
            <a:endParaRPr lang="en-US"/>
          </a:p>
        </c:txPr>
        <c:crossAx val="387534208"/>
        <c:crosses val="autoZero"/>
        <c:crossBetween val="midCat"/>
      </c:valAx>
      <c:valAx>
        <c:axId val="387534208"/>
        <c:scaling>
          <c:orientation val="minMax"/>
          <c:max val="47832.345925569083"/>
          <c:min val="0"/>
        </c:scaling>
        <c:delete val="0"/>
        <c:axPos val="l"/>
        <c:majorGridlines/>
        <c:title>
          <c:tx>
            <c:rich>
              <a:bodyPr rot="-5400000" vert="horz"/>
              <a:lstStyle/>
              <a:p>
                <a:pPr>
                  <a:defRPr sz="1100">
                    <a:solidFill>
                      <a:sysClr val="windowText" lastClr="000000"/>
                    </a:solidFill>
                    <a:latin typeface="Arial" pitchFamily="34" charset="0"/>
                    <a:cs typeface="Arial" pitchFamily="34" charset="0"/>
                  </a:defRPr>
                </a:pPr>
                <a:r>
                  <a:rPr lang="en-US" sz="1100">
                    <a:solidFill>
                      <a:sysClr val="windowText" lastClr="000000"/>
                    </a:solidFill>
                    <a:latin typeface="Arial" pitchFamily="34" charset="0"/>
                    <a:cs typeface="Arial" pitchFamily="34" charset="0"/>
                  </a:rPr>
                  <a:t>Inverse</a:t>
                </a:r>
                <a:r>
                  <a:rPr lang="en-US" sz="1100" baseline="0">
                    <a:solidFill>
                      <a:sysClr val="windowText" lastClr="000000"/>
                    </a:solidFill>
                    <a:latin typeface="Arial" pitchFamily="34" charset="0"/>
                    <a:cs typeface="Arial" pitchFamily="34" charset="0"/>
                  </a:rPr>
                  <a:t> Lifetime - Correction Term (s</a:t>
                </a:r>
                <a:r>
                  <a:rPr lang="en-US" sz="1100" baseline="30000">
                    <a:solidFill>
                      <a:sysClr val="windowText" lastClr="000000"/>
                    </a:solidFill>
                    <a:latin typeface="Arial" pitchFamily="34" charset="0"/>
                    <a:cs typeface="Arial" pitchFamily="34" charset="0"/>
                  </a:rPr>
                  <a:t>-1</a:t>
                </a:r>
                <a:r>
                  <a:rPr lang="en-US" sz="1100" baseline="0">
                    <a:solidFill>
                      <a:sysClr val="windowText" lastClr="000000"/>
                    </a:solidFill>
                    <a:latin typeface="Arial" pitchFamily="34" charset="0"/>
                    <a:cs typeface="Arial" pitchFamily="34" charset="0"/>
                  </a:rPr>
                  <a:t>)</a:t>
                </a:r>
              </a:p>
            </c:rich>
          </c:tx>
          <c:overlay val="0"/>
        </c:title>
        <c:numFmt formatCode="0" sourceLinked="0"/>
        <c:majorTickMark val="out"/>
        <c:minorTickMark val="none"/>
        <c:tickLblPos val="nextTo"/>
        <c:spPr>
          <a:ln>
            <a:solidFill>
              <a:schemeClr val="tx1"/>
            </a:solidFill>
          </a:ln>
        </c:spPr>
        <c:txPr>
          <a:bodyPr/>
          <a:lstStyle/>
          <a:p>
            <a:pPr>
              <a:defRPr sz="1000" b="1" baseline="0">
                <a:solidFill>
                  <a:sysClr val="windowText" lastClr="000000"/>
                </a:solidFill>
                <a:latin typeface="Arial" pitchFamily="34" charset="0"/>
                <a:cs typeface="Arial" pitchFamily="34" charset="0"/>
              </a:defRPr>
            </a:pPr>
            <a:endParaRPr lang="en-US"/>
          </a:p>
        </c:txPr>
        <c:crossAx val="38750105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txPr>
        <a:bodyPr/>
        <a:lstStyle/>
        <a:p>
          <a:pPr>
            <a:defRPr sz="1000" baseline="0">
              <a:latin typeface="Arial" pitchFamily="34" charset="0"/>
              <a:cs typeface="Arial" pitchFamily="34" charset="0"/>
            </a:defRPr>
          </a:pPr>
          <a:endParaRPr lang="en-US"/>
        </a:p>
      </c:txPr>
    </c:legend>
    <c:plotVisOnly val="1"/>
    <c:dispBlanksAs val="gap"/>
    <c:showDLblsOverMax val="0"/>
  </c:chart>
  <c:printSettings>
    <c:headerFooter/>
    <c:pageMargins b="0.7500000000000101" l="0.70000000000000062" r="0.70000000000000062" t="0.750000000000010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Illumination and Photoconductance</a:t>
            </a:r>
          </a:p>
        </c:rich>
      </c:tx>
      <c:layout/>
      <c:overlay val="0"/>
    </c:title>
    <c:autoTitleDeleted val="0"/>
    <c:plotArea>
      <c:layout>
        <c:manualLayout>
          <c:layoutTarget val="inner"/>
          <c:xMode val="edge"/>
          <c:yMode val="edge"/>
          <c:x val="0.11180039717476002"/>
          <c:y val="0.11206623436776286"/>
          <c:w val="0.75371251343821544"/>
          <c:h val="0.74692073241282131"/>
        </c:manualLayout>
      </c:layout>
      <c:scatterChart>
        <c:scatterStyle val="lineMarker"/>
        <c:varyColors val="0"/>
        <c:ser>
          <c:idx val="0"/>
          <c:order val="0"/>
          <c:tx>
            <c:v>Light Intensity (suns)</c:v>
          </c:tx>
          <c:spPr>
            <a:ln w="28575">
              <a:solidFill>
                <a:srgbClr val="2004EC"/>
              </a:solidFill>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Calc!$E$9:$E$133</c:f>
              <c:numCache>
                <c:formatCode>0.00</c:formatCode>
                <c:ptCount val="125"/>
                <c:pt idx="0">
                  <c:v>27.441046134547296</c:v>
                </c:pt>
                <c:pt idx="1">
                  <c:v>41.364823439818011</c:v>
                </c:pt>
                <c:pt idx="2">
                  <c:v>48.836185277488418</c:v>
                </c:pt>
                <c:pt idx="3">
                  <c:v>48.667589483700858</c:v>
                </c:pt>
                <c:pt idx="4">
                  <c:v>45.395071410210818</c:v>
                </c:pt>
                <c:pt idx="5">
                  <c:v>42.468424397459863</c:v>
                </c:pt>
                <c:pt idx="6">
                  <c:v>39.533097911544957</c:v>
                </c:pt>
                <c:pt idx="7">
                  <c:v>36.853637538627815</c:v>
                </c:pt>
                <c:pt idx="8">
                  <c:v>34.32113372503467</c:v>
                </c:pt>
                <c:pt idx="9">
                  <c:v>31.899204021612491</c:v>
                </c:pt>
                <c:pt idx="10">
                  <c:v>29.677258891639308</c:v>
                </c:pt>
                <c:pt idx="11">
                  <c:v>27.633540203758908</c:v>
                </c:pt>
                <c:pt idx="12">
                  <c:v>25.681966607687642</c:v>
                </c:pt>
                <c:pt idx="13">
                  <c:v>23.966760034218407</c:v>
                </c:pt>
                <c:pt idx="14">
                  <c:v>22.310169628829051</c:v>
                </c:pt>
                <c:pt idx="15">
                  <c:v>20.759516354797039</c:v>
                </c:pt>
                <c:pt idx="16">
                  <c:v>19.396601274270363</c:v>
                </c:pt>
                <c:pt idx="17">
                  <c:v>18.067096220580289</c:v>
                </c:pt>
                <c:pt idx="18">
                  <c:v>16.870042305310061</c:v>
                </c:pt>
                <c:pt idx="19">
                  <c:v>15.764895688063664</c:v>
                </c:pt>
                <c:pt idx="20">
                  <c:v>14.694466963473097</c:v>
                </c:pt>
                <c:pt idx="21">
                  <c:v>13.788591538319755</c:v>
                </c:pt>
                <c:pt idx="22">
                  <c:v>12.881051556669217</c:v>
                </c:pt>
                <c:pt idx="23">
                  <c:v>12.025707310895079</c:v>
                </c:pt>
                <c:pt idx="24">
                  <c:v>11.309734002693427</c:v>
                </c:pt>
                <c:pt idx="25">
                  <c:v>10.56192010663824</c:v>
                </c:pt>
                <c:pt idx="26">
                  <c:v>9.9068933456125432</c:v>
                </c:pt>
                <c:pt idx="27">
                  <c:v>9.3029446896722732</c:v>
                </c:pt>
                <c:pt idx="28">
                  <c:v>8.6895318410765103</c:v>
                </c:pt>
                <c:pt idx="29">
                  <c:v>8.2069174640926636</c:v>
                </c:pt>
                <c:pt idx="30">
                  <c:v>7.6926646239728003</c:v>
                </c:pt>
                <c:pt idx="31">
                  <c:v>7.1928101975536949</c:v>
                </c:pt>
                <c:pt idx="32">
                  <c:v>6.8098789753734392</c:v>
                </c:pt>
                <c:pt idx="33">
                  <c:v>6.3751087079947508</c:v>
                </c:pt>
                <c:pt idx="34">
                  <c:v>5.9980391026224833</c:v>
                </c:pt>
                <c:pt idx="35">
                  <c:v>5.666483227759298</c:v>
                </c:pt>
                <c:pt idx="36">
                  <c:v>5.2867503319915139</c:v>
                </c:pt>
                <c:pt idx="37">
                  <c:v>5.0310150055756697</c:v>
                </c:pt>
                <c:pt idx="38">
                  <c:v>4.7202423075489195</c:v>
                </c:pt>
                <c:pt idx="39">
                  <c:v>4.4179469579686108</c:v>
                </c:pt>
                <c:pt idx="40">
                  <c:v>4.2053474242087088</c:v>
                </c:pt>
                <c:pt idx="41">
                  <c:v>3.9402192432729644</c:v>
                </c:pt>
                <c:pt idx="42">
                  <c:v>3.7380707463776095</c:v>
                </c:pt>
                <c:pt idx="43">
                  <c:v>3.5488106726462685</c:v>
                </c:pt>
                <c:pt idx="44">
                  <c:v>3.3189116410047799</c:v>
                </c:pt>
                <c:pt idx="45">
                  <c:v>3.1792910199577173</c:v>
                </c:pt>
                <c:pt idx="46">
                  <c:v>2.9979256998987975</c:v>
                </c:pt>
                <c:pt idx="47">
                  <c:v>2.7851478207999105</c:v>
                </c:pt>
                <c:pt idx="48">
                  <c:v>2.6771656628888638</c:v>
                </c:pt>
                <c:pt idx="49">
                  <c:v>2.5095567133103542</c:v>
                </c:pt>
                <c:pt idx="50">
                  <c:v>2.3457286849183352</c:v>
                </c:pt>
                <c:pt idx="51">
                  <c:v>2.2564371185329621</c:v>
                </c:pt>
                <c:pt idx="52">
                  <c:v>2.0995169996043122</c:v>
                </c:pt>
                <c:pt idx="53">
                  <c:v>2.0256106911287488</c:v>
                </c:pt>
                <c:pt idx="54">
                  <c:v>1.9194357659860881</c:v>
                </c:pt>
                <c:pt idx="55">
                  <c:v>1.7834058310972656</c:v>
                </c:pt>
                <c:pt idx="56">
                  <c:v>1.7395209880175835</c:v>
                </c:pt>
                <c:pt idx="57">
                  <c:v>1.6289230984680838</c:v>
                </c:pt>
                <c:pt idx="58">
                  <c:v>1.5131056353309436</c:v>
                </c:pt>
                <c:pt idx="59">
                  <c:v>1.475486658494283</c:v>
                </c:pt>
                <c:pt idx="60">
                  <c:v>1.3631528743119916</c:v>
                </c:pt>
                <c:pt idx="61">
                  <c:v>1.3028840394241812</c:v>
                </c:pt>
                <c:pt idx="62">
                  <c:v>1.2448266867397899</c:v>
                </c:pt>
                <c:pt idx="63">
                  <c:v>1.1401569962581659</c:v>
                </c:pt>
                <c:pt idx="64">
                  <c:v>1.1352227752129023</c:v>
                </c:pt>
                <c:pt idx="65">
                  <c:v>1.0581252741384262</c:v>
                </c:pt>
                <c:pt idx="66">
                  <c:v>0.97591996255540725</c:v>
                </c:pt>
                <c:pt idx="67">
                  <c:v>0.9832927588690652</c:v>
                </c:pt>
                <c:pt idx="68">
                  <c:v>0.91246469094439042</c:v>
                </c:pt>
                <c:pt idx="69">
                  <c:v>0.84744354725708126</c:v>
                </c:pt>
                <c:pt idx="70">
                  <c:v>0.83496175146595408</c:v>
                </c:pt>
                <c:pt idx="71">
                  <c:v>0.7590841325101384</c:v>
                </c:pt>
                <c:pt idx="72">
                  <c:v>0.74991123724165432</c:v>
                </c:pt>
                <c:pt idx="73">
                  <c:v>0.71292954774963491</c:v>
                </c:pt>
                <c:pt idx="74">
                  <c:v>0.64134767352551514</c:v>
                </c:pt>
                <c:pt idx="75">
                  <c:v>0.65853184142122478</c:v>
                </c:pt>
                <c:pt idx="76">
                  <c:v>0.61086845509290455</c:v>
                </c:pt>
                <c:pt idx="77">
                  <c:v>0.55873573456960934</c:v>
                </c:pt>
                <c:pt idx="78">
                  <c:v>0.57162415773362329</c:v>
                </c:pt>
                <c:pt idx="79">
                  <c:v>0.492726557704321</c:v>
                </c:pt>
                <c:pt idx="80">
                  <c:v>0.52355414403241629</c:v>
                </c:pt>
                <c:pt idx="81">
                  <c:v>0.49255296824104189</c:v>
                </c:pt>
                <c:pt idx="82">
                  <c:v>0.43269789453967744</c:v>
                </c:pt>
                <c:pt idx="83">
                  <c:v>0.46555742876328016</c:v>
                </c:pt>
                <c:pt idx="84">
                  <c:v>0.42149305137568599</c:v>
                </c:pt>
                <c:pt idx="85">
                  <c:v>0.38207397558419903</c:v>
                </c:pt>
                <c:pt idx="86">
                  <c:v>0.41150809033035485</c:v>
                </c:pt>
                <c:pt idx="87">
                  <c:v>0.35281345030132238</c:v>
                </c:pt>
                <c:pt idx="88">
                  <c:v>0.36645686873370803</c:v>
                </c:pt>
                <c:pt idx="89">
                  <c:v>0.3632632981969422</c:v>
                </c:pt>
                <c:pt idx="90">
                  <c:v>0.28291515607722501</c:v>
                </c:pt>
                <c:pt idx="91">
                  <c:v>0.35049139398773205</c:v>
                </c:pt>
                <c:pt idx="92">
                  <c:v>0.3232640055692893</c:v>
                </c:pt>
                <c:pt idx="93">
                  <c:v>0.27554235976356717</c:v>
                </c:pt>
                <c:pt idx="94">
                  <c:v>0.31693631294208613</c:v>
                </c:pt>
                <c:pt idx="95">
                  <c:v>0.26102861607693267</c:v>
                </c:pt>
                <c:pt idx="96">
                  <c:v>0.28953414609143768</c:v>
                </c:pt>
                <c:pt idx="97">
                  <c:v>0.27182683186803736</c:v>
                </c:pt>
                <c:pt idx="98">
                  <c:v>0.21545543712152171</c:v>
                </c:pt>
                <c:pt idx="99">
                  <c:v>0.26184187082270627</c:v>
                </c:pt>
                <c:pt idx="100">
                  <c:v>0.23142091186749766</c:v>
                </c:pt>
                <c:pt idx="101">
                  <c:v>0.2075594944801733</c:v>
                </c:pt>
                <c:pt idx="102">
                  <c:v>0.23641339239016321</c:v>
                </c:pt>
                <c:pt idx="103">
                  <c:v>0.18375752553917746</c:v>
                </c:pt>
                <c:pt idx="104">
                  <c:v>0.21324871079380864</c:v>
                </c:pt>
                <c:pt idx="105">
                  <c:v>0.2145851118672728</c:v>
                </c:pt>
                <c:pt idx="106">
                  <c:v>0.16413478237507353</c:v>
                </c:pt>
                <c:pt idx="107">
                  <c:v>0.21528065868931598</c:v>
                </c:pt>
                <c:pt idx="108">
                  <c:v>0.19356889712122941</c:v>
                </c:pt>
                <c:pt idx="109">
                  <c:v>0.15484536815178565</c:v>
                </c:pt>
                <c:pt idx="110">
                  <c:v>0.20221864606202289</c:v>
                </c:pt>
                <c:pt idx="111">
                  <c:v>0.15908404237500609</c:v>
                </c:pt>
                <c:pt idx="112">
                  <c:v>0.18602132237536587</c:v>
                </c:pt>
                <c:pt idx="113">
                  <c:v>0.18561469500247907</c:v>
                </c:pt>
                <c:pt idx="114">
                  <c:v>0.13673261552442506</c:v>
                </c:pt>
                <c:pt idx="115">
                  <c:v>0.19234901500256904</c:v>
                </c:pt>
                <c:pt idx="116">
                  <c:v>0.1656435839428903</c:v>
                </c:pt>
                <c:pt idx="117">
                  <c:v>0.14991114710652201</c:v>
                </c:pt>
                <c:pt idx="118">
                  <c:v>0.18282894080752662</c:v>
                </c:pt>
                <c:pt idx="119">
                  <c:v>0.14050640289735686</c:v>
                </c:pt>
                <c:pt idx="120">
                  <c:v>0.17237790394298025</c:v>
                </c:pt>
                <c:pt idx="121">
                  <c:v>0.1673271639429128</c:v>
                </c:pt>
                <c:pt idx="122">
                  <c:v>0.13638424762894019</c:v>
                </c:pt>
                <c:pt idx="123">
                  <c:v>0.18828511921155427</c:v>
                </c:pt>
                <c:pt idx="124">
                  <c:v>0.16192805604736046</c:v>
                </c:pt>
              </c:numCache>
            </c:numRef>
          </c:yVal>
          <c:smooth val="0"/>
        </c:ser>
        <c:dLbls>
          <c:showLegendKey val="0"/>
          <c:showVal val="0"/>
          <c:showCatName val="0"/>
          <c:showSerName val="0"/>
          <c:showPercent val="0"/>
          <c:showBubbleSize val="0"/>
        </c:dLbls>
        <c:axId val="273065472"/>
        <c:axId val="273645568"/>
      </c:scatterChart>
      <c:scatterChart>
        <c:scatterStyle val="lineMarker"/>
        <c:varyColors val="0"/>
        <c:ser>
          <c:idx val="1"/>
          <c:order val="1"/>
          <c:tx>
            <c:v>Photoconductance (Siemens)</c:v>
          </c:tx>
          <c:spPr>
            <a:ln w="28575">
              <a:solidFill>
                <a:srgbClr val="FF0000"/>
              </a:solidFill>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Calc!$H$9:$H$133</c:f>
              <c:numCache>
                <c:formatCode>0.000E+00</c:formatCode>
                <c:ptCount val="125"/>
                <c:pt idx="0">
                  <c:v>3.631157163166638E-2</c:v>
                </c:pt>
                <c:pt idx="1">
                  <c:v>0.10219379497665754</c:v>
                </c:pt>
                <c:pt idx="2">
                  <c:v>0.13675934401555767</c:v>
                </c:pt>
                <c:pt idx="3">
                  <c:v>0.15036843508435052</c:v>
                </c:pt>
                <c:pt idx="4">
                  <c:v>0.15100672382148003</c:v>
                </c:pt>
                <c:pt idx="5">
                  <c:v>0.14736738211087066</c:v>
                </c:pt>
                <c:pt idx="6">
                  <c:v>0.14264929918708757</c:v>
                </c:pt>
                <c:pt idx="7">
                  <c:v>0.13774637915552032</c:v>
                </c:pt>
                <c:pt idx="8">
                  <c:v>0.13285668689573343</c:v>
                </c:pt>
                <c:pt idx="9">
                  <c:v>0.12803415658264358</c:v>
                </c:pt>
                <c:pt idx="10">
                  <c:v>0.12336872860670454</c:v>
                </c:pt>
                <c:pt idx="11">
                  <c:v>0.11886063724576322</c:v>
                </c:pt>
                <c:pt idx="12">
                  <c:v>0.1145218563047771</c:v>
                </c:pt>
                <c:pt idx="13">
                  <c:v>0.11037043073304528</c:v>
                </c:pt>
                <c:pt idx="14">
                  <c:v>0.10637935050735418</c:v>
                </c:pt>
                <c:pt idx="15">
                  <c:v>0.10255679808586146</c:v>
                </c:pt>
                <c:pt idx="16">
                  <c:v>9.887864103788202E-2</c:v>
                </c:pt>
                <c:pt idx="17">
                  <c:v>9.534010203652038E-2</c:v>
                </c:pt>
                <c:pt idx="18">
                  <c:v>9.1965447472552128E-2</c:v>
                </c:pt>
                <c:pt idx="19">
                  <c:v>8.8724685610080678E-2</c:v>
                </c:pt>
                <c:pt idx="20">
                  <c:v>8.5636301427624739E-2</c:v>
                </c:pt>
                <c:pt idx="21">
                  <c:v>8.2679730054999304E-2</c:v>
                </c:pt>
                <c:pt idx="22">
                  <c:v>7.9825609015886992E-2</c:v>
                </c:pt>
                <c:pt idx="23">
                  <c:v>7.7089944630074375E-2</c:v>
                </c:pt>
                <c:pt idx="24">
                  <c:v>7.4468836466691501E-2</c:v>
                </c:pt>
                <c:pt idx="25">
                  <c:v>7.1966747194553024E-2</c:v>
                </c:pt>
                <c:pt idx="26">
                  <c:v>6.9558591487573027E-2</c:v>
                </c:pt>
                <c:pt idx="27">
                  <c:v>6.7234884259563477E-2</c:v>
                </c:pt>
                <c:pt idx="28">
                  <c:v>6.501423910487493E-2</c:v>
                </c:pt>
                <c:pt idx="29">
                  <c:v>6.2886611048427382E-2</c:v>
                </c:pt>
                <c:pt idx="30">
                  <c:v>6.0831725997560343E-2</c:v>
                </c:pt>
                <c:pt idx="31">
                  <c:v>5.8839956144487747E-2</c:v>
                </c:pt>
                <c:pt idx="32">
                  <c:v>5.6934784484175313E-2</c:v>
                </c:pt>
                <c:pt idx="33">
                  <c:v>5.5106290797891096E-2</c:v>
                </c:pt>
                <c:pt idx="34">
                  <c:v>5.3349720829390129E-2</c:v>
                </c:pt>
                <c:pt idx="35">
                  <c:v>5.1633331773829526E-2</c:v>
                </c:pt>
                <c:pt idx="36">
                  <c:v>5.0013846421168302E-2</c:v>
                </c:pt>
                <c:pt idx="37">
                  <c:v>4.8420348317336818E-2</c:v>
                </c:pt>
                <c:pt idx="38">
                  <c:v>4.6912066059351935E-2</c:v>
                </c:pt>
                <c:pt idx="39">
                  <c:v>4.5446008145321119E-2</c:v>
                </c:pt>
                <c:pt idx="40">
                  <c:v>4.4009621502662875E-2</c:v>
                </c:pt>
                <c:pt idx="41">
                  <c:v>4.2645588985219918E-2</c:v>
                </c:pt>
                <c:pt idx="42">
                  <c:v>4.1310200817718572E-2</c:v>
                </c:pt>
                <c:pt idx="43">
                  <c:v>4.0026866460748788E-2</c:v>
                </c:pt>
                <c:pt idx="44">
                  <c:v>3.8804529160871092E-2</c:v>
                </c:pt>
                <c:pt idx="45">
                  <c:v>3.7606088744402702E-2</c:v>
                </c:pt>
                <c:pt idx="46">
                  <c:v>3.6460006327334378E-2</c:v>
                </c:pt>
                <c:pt idx="47">
                  <c:v>3.5331219277479516E-2</c:v>
                </c:pt>
                <c:pt idx="48">
                  <c:v>3.4253808474878772E-2</c:v>
                </c:pt>
                <c:pt idx="49">
                  <c:v>3.3209096529612903E-2</c:v>
                </c:pt>
                <c:pt idx="50">
                  <c:v>3.2207452504296082E-2</c:v>
                </c:pt>
                <c:pt idx="51">
                  <c:v>3.1207718030911758E-2</c:v>
                </c:pt>
                <c:pt idx="52">
                  <c:v>3.0261374076433829E-2</c:v>
                </c:pt>
                <c:pt idx="53">
                  <c:v>2.9354566269559314E-2</c:v>
                </c:pt>
                <c:pt idx="54">
                  <c:v>2.8460257585170724E-2</c:v>
                </c:pt>
                <c:pt idx="55">
                  <c:v>2.7591299411624484E-2</c:v>
                </c:pt>
                <c:pt idx="56">
                  <c:v>2.673215697429342E-2</c:v>
                </c:pt>
                <c:pt idx="57">
                  <c:v>2.5926020249815097E-2</c:v>
                </c:pt>
                <c:pt idx="58">
                  <c:v>2.5115833483260921E-2</c:v>
                </c:pt>
                <c:pt idx="59">
                  <c:v>2.4343479539191918E-2</c:v>
                </c:pt>
                <c:pt idx="60">
                  <c:v>2.360650319808796E-2</c:v>
                </c:pt>
                <c:pt idx="61">
                  <c:v>2.2859402533613158E-2</c:v>
                </c:pt>
                <c:pt idx="62">
                  <c:v>2.2168368411459378E-2</c:v>
                </c:pt>
                <c:pt idx="63">
                  <c:v>2.1485530342231017E-2</c:v>
                </c:pt>
                <c:pt idx="64">
                  <c:v>2.0815247998456469E-2</c:v>
                </c:pt>
                <c:pt idx="65">
                  <c:v>2.0169236756945434E-2</c:v>
                </c:pt>
                <c:pt idx="66">
                  <c:v>1.9549375744564133E-2</c:v>
                </c:pt>
                <c:pt idx="67">
                  <c:v>1.8939024526756203E-2</c:v>
                </c:pt>
                <c:pt idx="68">
                  <c:v>1.8350702522425835E-2</c:v>
                </c:pt>
                <c:pt idx="69">
                  <c:v>1.7779749384007674E-2</c:v>
                </c:pt>
                <c:pt idx="70">
                  <c:v>1.722724014258661E-2</c:v>
                </c:pt>
                <c:pt idx="71">
                  <c:v>1.6685000643324961E-2</c:v>
                </c:pt>
                <c:pt idx="72">
                  <c:v>1.6155452716411282E-2</c:v>
                </c:pt>
                <c:pt idx="73">
                  <c:v>1.5657129170221721E-2</c:v>
                </c:pt>
                <c:pt idx="74">
                  <c:v>1.5160858481336156E-2</c:v>
                </c:pt>
                <c:pt idx="75">
                  <c:v>1.4665494789948866E-2</c:v>
                </c:pt>
                <c:pt idx="76">
                  <c:v>1.4209546943225355E-2</c:v>
                </c:pt>
                <c:pt idx="77">
                  <c:v>1.3743326633706971E-2</c:v>
                </c:pt>
                <c:pt idx="78">
                  <c:v>1.3307452796371584E-2</c:v>
                </c:pt>
                <c:pt idx="79">
                  <c:v>1.287003061426434E-2</c:v>
                </c:pt>
                <c:pt idx="80">
                  <c:v>1.2436804548604342E-2</c:v>
                </c:pt>
                <c:pt idx="81">
                  <c:v>1.2033890281164602E-2</c:v>
                </c:pt>
                <c:pt idx="82">
                  <c:v>1.1648477144341238E-2</c:v>
                </c:pt>
                <c:pt idx="83">
                  <c:v>1.125497590493838E-2</c:v>
                </c:pt>
                <c:pt idx="84">
                  <c:v>1.0889022016961673E-2</c:v>
                </c:pt>
                <c:pt idx="85">
                  <c:v>1.0502469724983728E-2</c:v>
                </c:pt>
                <c:pt idx="86">
                  <c:v>1.0161664091433324E-2</c:v>
                </c:pt>
                <c:pt idx="87">
                  <c:v>9.8106159993708204E-3</c:v>
                </c:pt>
                <c:pt idx="88">
                  <c:v>9.467230814994898E-3</c:v>
                </c:pt>
                <c:pt idx="89">
                  <c:v>9.1513497683604391E-3</c:v>
                </c:pt>
                <c:pt idx="90">
                  <c:v>8.8360764494718035E-3</c:v>
                </c:pt>
                <c:pt idx="91">
                  <c:v>8.5273928844917211E-3</c:v>
                </c:pt>
                <c:pt idx="92">
                  <c:v>8.2347549138213315E-3</c:v>
                </c:pt>
                <c:pt idx="93">
                  <c:v>7.9486977276093038E-3</c:v>
                </c:pt>
                <c:pt idx="94">
                  <c:v>7.6523363786698689E-3</c:v>
                </c:pt>
                <c:pt idx="95">
                  <c:v>7.3845790945968569E-3</c:v>
                </c:pt>
                <c:pt idx="96">
                  <c:v>7.1320399624636155E-3</c:v>
                </c:pt>
                <c:pt idx="97">
                  <c:v>6.865938877766993E-3</c:v>
                </c:pt>
                <c:pt idx="98">
                  <c:v>6.6338425876994785E-3</c:v>
                </c:pt>
                <c:pt idx="99">
                  <c:v>6.3895445210098469E-3</c:v>
                </c:pt>
                <c:pt idx="100">
                  <c:v>6.1607287985054699E-3</c:v>
                </c:pt>
                <c:pt idx="101">
                  <c:v>5.9452503047054354E-3</c:v>
                </c:pt>
                <c:pt idx="102">
                  <c:v>5.7200432802185022E-3</c:v>
                </c:pt>
                <c:pt idx="103">
                  <c:v>5.5178932265765087E-3</c:v>
                </c:pt>
                <c:pt idx="104">
                  <c:v>5.3301814473353856E-3</c:v>
                </c:pt>
                <c:pt idx="105">
                  <c:v>5.145432093541802E-3</c:v>
                </c:pt>
                <c:pt idx="106">
                  <c:v>4.9699489790138614E-3</c:v>
                </c:pt>
                <c:pt idx="107">
                  <c:v>4.7885108891237644E-3</c:v>
                </c:pt>
                <c:pt idx="108">
                  <c:v>4.6168365749355783E-3</c:v>
                </c:pt>
                <c:pt idx="109">
                  <c:v>4.4701395442422708E-3</c:v>
                </c:pt>
                <c:pt idx="110">
                  <c:v>4.3071836087747338E-3</c:v>
                </c:pt>
                <c:pt idx="111">
                  <c:v>4.1610374609201894E-3</c:v>
                </c:pt>
                <c:pt idx="112">
                  <c:v>4.0157351243570822E-3</c:v>
                </c:pt>
                <c:pt idx="113">
                  <c:v>3.9059188737328183E-3</c:v>
                </c:pt>
                <c:pt idx="114">
                  <c:v>3.7812311119622922E-3</c:v>
                </c:pt>
                <c:pt idx="115">
                  <c:v>3.6408420625376947E-3</c:v>
                </c:pt>
                <c:pt idx="116">
                  <c:v>3.5405386728784355E-3</c:v>
                </c:pt>
                <c:pt idx="117">
                  <c:v>3.4321369132181371E-3</c:v>
                </c:pt>
                <c:pt idx="118">
                  <c:v>3.3240187161069001E-3</c:v>
                </c:pt>
                <c:pt idx="119">
                  <c:v>3.2150740850331334E-3</c:v>
                </c:pt>
                <c:pt idx="120">
                  <c:v>3.1413748209982995E-3</c:v>
                </c:pt>
                <c:pt idx="121">
                  <c:v>3.0400151614591014E-3</c:v>
                </c:pt>
                <c:pt idx="122">
                  <c:v>2.9595527396560298E-3</c:v>
                </c:pt>
                <c:pt idx="123">
                  <c:v>2.8720467113588222E-3</c:v>
                </c:pt>
                <c:pt idx="124">
                  <c:v>2.7967236655114724E-3</c:v>
                </c:pt>
              </c:numCache>
            </c:numRef>
          </c:yVal>
          <c:smooth val="0"/>
        </c:ser>
        <c:ser>
          <c:idx val="2"/>
          <c:order val="2"/>
          <c:tx>
            <c:v>First Point Analyzed</c:v>
          </c:tx>
          <c:spPr>
            <a:ln>
              <a:noFill/>
            </a:ln>
          </c:spPr>
          <c:marker>
            <c:symbol val="diamond"/>
            <c:size val="5"/>
            <c:spPr>
              <a:solidFill>
                <a:srgbClr val="00B050"/>
              </a:solidFill>
            </c:spPr>
          </c:marker>
          <c:xVal>
            <c:numRef>
              <c:f>[0]!TimeofMaxCD</c:f>
              <c:numCache>
                <c:formatCode>0.00E+00</c:formatCode>
                <c:ptCount val="1"/>
                <c:pt idx="0">
                  <c:v>4.4989999999999999E-4</c:v>
                </c:pt>
              </c:numCache>
            </c:numRef>
          </c:xVal>
          <c:yVal>
            <c:numRef>
              <c:f>[0]!FirstPoint</c:f>
              <c:numCache>
                <c:formatCode>0.00E+00</c:formatCode>
                <c:ptCount val="1"/>
                <c:pt idx="0">
                  <c:v>0.15100672382148003</c:v>
                </c:pt>
              </c:numCache>
            </c:numRef>
          </c:yVal>
          <c:smooth val="0"/>
        </c:ser>
        <c:dLbls>
          <c:showLegendKey val="0"/>
          <c:showVal val="0"/>
          <c:showCatName val="0"/>
          <c:showSerName val="0"/>
          <c:showPercent val="0"/>
          <c:showBubbleSize val="0"/>
        </c:dLbls>
        <c:axId val="273653760"/>
        <c:axId val="273647488"/>
      </c:scatterChart>
      <c:valAx>
        <c:axId val="273065472"/>
        <c:scaling>
          <c:orientation val="minMax"/>
        </c:scaling>
        <c:delete val="0"/>
        <c:axPos val="b"/>
        <c:majorGridlines/>
        <c:title>
          <c:tx>
            <c:rich>
              <a:bodyPr/>
              <a:lstStyle/>
              <a:p>
                <a:pPr>
                  <a:defRPr sz="1200"/>
                </a:pPr>
                <a:r>
                  <a:rPr lang="en-US" sz="1200"/>
                  <a:t>Time (seconds)</a:t>
                </a:r>
              </a:p>
            </c:rich>
          </c:tx>
          <c:layout/>
          <c:overlay val="0"/>
        </c:title>
        <c:numFmt formatCode="0.0E+00" sourceLinked="0"/>
        <c:majorTickMark val="out"/>
        <c:minorTickMark val="none"/>
        <c:tickLblPos val="nextTo"/>
        <c:txPr>
          <a:bodyPr/>
          <a:lstStyle/>
          <a:p>
            <a:pPr>
              <a:defRPr b="1"/>
            </a:pPr>
            <a:endParaRPr lang="en-US"/>
          </a:p>
        </c:txPr>
        <c:crossAx val="273645568"/>
        <c:crosses val="autoZero"/>
        <c:crossBetween val="midCat"/>
      </c:valAx>
      <c:valAx>
        <c:axId val="273645568"/>
        <c:scaling>
          <c:orientation val="minMax"/>
          <c:min val="0"/>
        </c:scaling>
        <c:delete val="0"/>
        <c:axPos val="l"/>
        <c:majorGridlines/>
        <c:title>
          <c:tx>
            <c:rich>
              <a:bodyPr rot="-5400000" vert="horz"/>
              <a:lstStyle/>
              <a:p>
                <a:pPr>
                  <a:defRPr sz="1200">
                    <a:solidFill>
                      <a:srgbClr val="2004EC"/>
                    </a:solidFill>
                  </a:defRPr>
                </a:pPr>
                <a:r>
                  <a:rPr lang="en-US" sz="1200">
                    <a:solidFill>
                      <a:srgbClr val="2004EC"/>
                    </a:solidFill>
                  </a:rPr>
                  <a:t>Illumination (suns)</a:t>
                </a:r>
              </a:p>
            </c:rich>
          </c:tx>
          <c:layout/>
          <c:overlay val="0"/>
        </c:title>
        <c:numFmt formatCode="0" sourceLinked="0"/>
        <c:majorTickMark val="out"/>
        <c:minorTickMark val="none"/>
        <c:tickLblPos val="nextTo"/>
        <c:spPr>
          <a:ln>
            <a:solidFill>
              <a:srgbClr val="2004EC"/>
            </a:solidFill>
          </a:ln>
        </c:spPr>
        <c:txPr>
          <a:bodyPr/>
          <a:lstStyle/>
          <a:p>
            <a:pPr>
              <a:defRPr b="1">
                <a:solidFill>
                  <a:srgbClr val="2004EC"/>
                </a:solidFill>
              </a:defRPr>
            </a:pPr>
            <a:endParaRPr lang="en-US"/>
          </a:p>
        </c:txPr>
        <c:crossAx val="273065472"/>
        <c:crosses val="autoZero"/>
        <c:crossBetween val="midCat"/>
      </c:valAx>
      <c:valAx>
        <c:axId val="273647488"/>
        <c:scaling>
          <c:orientation val="minMax"/>
          <c:min val="0"/>
        </c:scaling>
        <c:delete val="0"/>
        <c:axPos val="r"/>
        <c:title>
          <c:tx>
            <c:rich>
              <a:bodyPr rot="-5400000" vert="horz"/>
              <a:lstStyle/>
              <a:p>
                <a:pPr>
                  <a:defRPr sz="1200">
                    <a:solidFill>
                      <a:srgbClr val="FF0000"/>
                    </a:solidFill>
                  </a:defRPr>
                </a:pPr>
                <a:r>
                  <a:rPr lang="en-US" sz="1200">
                    <a:solidFill>
                      <a:srgbClr val="FF0000"/>
                    </a:solidFill>
                  </a:rPr>
                  <a:t>Photoconductance (Siemens)</a:t>
                </a:r>
              </a:p>
            </c:rich>
          </c:tx>
          <c:layout>
            <c:manualLayout>
              <c:xMode val="edge"/>
              <c:yMode val="edge"/>
              <c:x val="0.95624670254514565"/>
              <c:y val="0.22911838954691294"/>
            </c:manualLayout>
          </c:layout>
          <c:overlay val="0"/>
        </c:title>
        <c:numFmt formatCode="General" sourceLinked="0"/>
        <c:majorTickMark val="out"/>
        <c:minorTickMark val="none"/>
        <c:tickLblPos val="nextTo"/>
        <c:spPr>
          <a:ln>
            <a:solidFill>
              <a:srgbClr val="FF0000"/>
            </a:solidFill>
          </a:ln>
        </c:spPr>
        <c:txPr>
          <a:bodyPr/>
          <a:lstStyle/>
          <a:p>
            <a:pPr>
              <a:defRPr b="1">
                <a:solidFill>
                  <a:srgbClr val="FF0000"/>
                </a:solidFill>
              </a:defRPr>
            </a:pPr>
            <a:endParaRPr lang="en-US"/>
          </a:p>
        </c:txPr>
        <c:crossAx val="273653760"/>
        <c:crosses val="max"/>
        <c:crossBetween val="midCat"/>
      </c:valAx>
      <c:valAx>
        <c:axId val="273653760"/>
        <c:scaling>
          <c:orientation val="minMax"/>
        </c:scaling>
        <c:delete val="1"/>
        <c:axPos val="b"/>
        <c:numFmt formatCode="0.00E+00" sourceLinked="1"/>
        <c:majorTickMark val="out"/>
        <c:minorTickMark val="none"/>
        <c:tickLblPos val="none"/>
        <c:crossAx val="273647488"/>
        <c:crosses val="autoZero"/>
        <c:crossBetween val="midCat"/>
      </c:valAx>
      <c:spPr>
        <a:ln>
          <a:solidFill>
            <a:sysClr val="windowText" lastClr="000000"/>
          </a:solidFill>
        </a:ln>
      </c:spPr>
    </c:plotArea>
    <c:legend>
      <c:legendPos val="r"/>
      <c:layout>
        <c:manualLayout>
          <c:xMode val="edge"/>
          <c:yMode val="edge"/>
          <c:x val="0.44987625118094765"/>
          <c:y val="0.11314229665296972"/>
          <c:w val="0.41499146159421246"/>
          <c:h val="0.16559176041105386"/>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0988" l="0.70000000000000062" r="0.70000000000000062" t="0.750000000000009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Inverse Lifetime (Corrected) vs. Carrier Density</a:t>
            </a:r>
          </a:p>
        </c:rich>
      </c:tx>
      <c:layout/>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7819653846977320</c:v>
                </c:pt>
                <c:pt idx="1">
                  <c:v>7529106303172681</c:v>
                </c:pt>
                <c:pt idx="2">
                  <c:v>7240838114708719</c:v>
                </c:pt>
                <c:pt idx="3">
                  <c:v>6957994349400993</c:v>
                </c:pt>
                <c:pt idx="4">
                  <c:v>6685751356152515</c:v>
                </c:pt>
                <c:pt idx="5">
                  <c:v>6423987082665524</c:v>
                </c:pt>
                <c:pt idx="6">
                  <c:v>6173260391428934</c:v>
                </c:pt>
                <c:pt idx="7">
                  <c:v>5934470342486079</c:v>
                </c:pt>
                <c:pt idx="8">
                  <c:v>5705928596947935</c:v>
                </c:pt>
                <c:pt idx="9">
                  <c:v>5487981409533569</c:v>
                </c:pt>
                <c:pt idx="10">
                  <c:v>5279140938784232</c:v>
                </c:pt>
                <c:pt idx="11">
                  <c:v>5079038322726614</c:v>
                </c:pt>
                <c:pt idx="12">
                  <c:v>4888945383497467</c:v>
                </c:pt>
                <c:pt idx="13">
                  <c:v>4707078034554299</c:v>
                </c:pt>
                <c:pt idx="14">
                  <c:v>4534386484947477</c:v>
                </c:pt>
                <c:pt idx="15">
                  <c:v>4369637826078056</c:v>
                </c:pt>
                <c:pt idx="16">
                  <c:v>4211130389768981</c:v>
                </c:pt>
                <c:pt idx="17">
                  <c:v>4059693690977409</c:v>
                </c:pt>
                <c:pt idx="18">
                  <c:v>3915051365799600.5</c:v>
                </c:pt>
                <c:pt idx="19">
                  <c:v>3777391503419801.5</c:v>
                </c:pt>
                <c:pt idx="20">
                  <c:v>3645283068023184</c:v>
                </c:pt>
                <c:pt idx="21">
                  <c:v>3518164805781539.5</c:v>
                </c:pt>
                <c:pt idx="22">
                  <c:v>3397013458479484</c:v>
                </c:pt>
                <c:pt idx="23">
                  <c:v>3281239170397494.5</c:v>
                </c:pt>
                <c:pt idx="24">
                  <c:v>3169704805721946</c:v>
                </c:pt>
                <c:pt idx="25">
                  <c:v>3061861028118759.5</c:v>
                </c:pt>
                <c:pt idx="26">
                  <c:v>2958950718217559</c:v>
                </c:pt>
                <c:pt idx="27">
                  <c:v>2860407854364167.5</c:v>
                </c:pt>
                <c:pt idx="28">
                  <c:v>2765949848676798.5</c:v>
                </c:pt>
                <c:pt idx="29">
                  <c:v>2673850634950063.5</c:v>
                </c:pt>
                <c:pt idx="30">
                  <c:v>2587131206289060</c:v>
                </c:pt>
                <c:pt idx="31">
                  <c:v>2501974474969103.5</c:v>
                </c:pt>
                <c:pt idx="32">
                  <c:v>2421528536526037</c:v>
                </c:pt>
                <c:pt idx="33">
                  <c:v>2343481311620845.5</c:v>
                </c:pt>
                <c:pt idx="34">
                  <c:v>2267154283863490</c:v>
                </c:pt>
                <c:pt idx="35">
                  <c:v>2194801256365321</c:v>
                </c:pt>
                <c:pt idx="36">
                  <c:v>2124089956570445.5</c:v>
                </c:pt>
                <c:pt idx="37">
                  <c:v>2056249407246207.2</c:v>
                </c:pt>
                <c:pt idx="38">
                  <c:v>1991737917425052.2</c:v>
                </c:pt>
                <c:pt idx="39">
                  <c:v>1928587019507919.5</c:v>
                </c:pt>
                <c:pt idx="40">
                  <c:v>1868287424157004</c:v>
                </c:pt>
                <c:pt idx="41">
                  <c:v>1808986327497433.5</c:v>
                </c:pt>
                <c:pt idx="42">
                  <c:v>1752466504942248.3</c:v>
                </c:pt>
                <c:pt idx="43">
                  <c:v>1697738957393044.5</c:v>
                </c:pt>
                <c:pt idx="44">
                  <c:v>1645338890713628</c:v>
                </c:pt>
                <c:pt idx="45">
                  <c:v>1593108604489832</c:v>
                </c:pt>
                <c:pt idx="46">
                  <c:v>1543732199206721.2</c:v>
                </c:pt>
                <c:pt idx="47">
                  <c:v>1496477716623886.7</c:v>
                </c:pt>
                <c:pt idx="48">
                  <c:v>1449931398779417.8</c:v>
                </c:pt>
                <c:pt idx="49">
                  <c:v>1404758742900291.5</c:v>
                </c:pt>
                <c:pt idx="50">
                  <c:v>1360149093226980.5</c:v>
                </c:pt>
                <c:pt idx="51">
                  <c:v>1318339533162401.5</c:v>
                </c:pt>
                <c:pt idx="52">
                  <c:v>1276366761606454.7</c:v>
                </c:pt>
                <c:pt idx="53">
                  <c:v>1236397842097094.7</c:v>
                </c:pt>
                <c:pt idx="54">
                  <c:v>1198299764662150</c:v>
                </c:pt>
                <c:pt idx="55">
                  <c:v>1159718392552213</c:v>
                </c:pt>
                <c:pt idx="56">
                  <c:v>1124068435231203.9</c:v>
                </c:pt>
                <c:pt idx="57">
                  <c:v>1088875466666235.9</c:v>
                </c:pt>
                <c:pt idx="58">
                  <c:v>1054362756301558.5</c:v>
                </c:pt>
                <c:pt idx="59">
                  <c:v>1021130950439912.6</c:v>
                </c:pt>
                <c:pt idx="60">
                  <c:v>989273239742595.87</c:v>
                </c:pt>
                <c:pt idx="61">
                  <c:v>957932029709215.12</c:v>
                </c:pt>
                <c:pt idx="62">
                  <c:v>927748163589670.12</c:v>
                </c:pt>
                <c:pt idx="63">
                  <c:v>898480048585541.12</c:v>
                </c:pt>
                <c:pt idx="64">
                  <c:v>870180597539535.87</c:v>
                </c:pt>
                <c:pt idx="65">
                  <c:v>842429428213472.37</c:v>
                </c:pt>
                <c:pt idx="66">
                  <c:v>815349169601617.62</c:v>
                </c:pt>
                <c:pt idx="67">
                  <c:v>789885038373114.25</c:v>
                </c:pt>
                <c:pt idx="68">
                  <c:v>764544536336321.25</c:v>
                </c:pt>
                <c:pt idx="69">
                  <c:v>739269059207523.62</c:v>
                </c:pt>
                <c:pt idx="70">
                  <c:v>716021326909982.25</c:v>
                </c:pt>
                <c:pt idx="71">
                  <c:v>692266332516810.37</c:v>
                </c:pt>
                <c:pt idx="72">
                  <c:v>670072716891285.62</c:v>
                </c:pt>
                <c:pt idx="73">
                  <c:v>647815047428276.62</c:v>
                </c:pt>
                <c:pt idx="74">
                  <c:v>625785549285674.75</c:v>
                </c:pt>
                <c:pt idx="75">
                  <c:v>605310548051345</c:v>
                </c:pt>
                <c:pt idx="76">
                  <c:v>585736810058109.62</c:v>
                </c:pt>
                <c:pt idx="77">
                  <c:v>565764364024041.25</c:v>
                </c:pt>
                <c:pt idx="78">
                  <c:v>547201082126506.75</c:v>
                </c:pt>
                <c:pt idx="79">
                  <c:v>527604469491761.62</c:v>
                </c:pt>
                <c:pt idx="80">
                  <c:v>510336898699577.94</c:v>
                </c:pt>
                <c:pt idx="81">
                  <c:v>492560090053309</c:v>
                </c:pt>
                <c:pt idx="82">
                  <c:v>475180905095689</c:v>
                </c:pt>
                <c:pt idx="83">
                  <c:v>459202143652602.69</c:v>
                </c:pt>
                <c:pt idx="84">
                  <c:v>443262186820079</c:v>
                </c:pt>
                <c:pt idx="85">
                  <c:v>427663240158095.31</c:v>
                </c:pt>
                <c:pt idx="86">
                  <c:v>412882329625965.69</c:v>
                </c:pt>
                <c:pt idx="87">
                  <c:v>398440603892279.87</c:v>
                </c:pt>
                <c:pt idx="88">
                  <c:v>383485783775520.37</c:v>
                </c:pt>
                <c:pt idx="89">
                  <c:v>369980620623459.94</c:v>
                </c:pt>
                <c:pt idx="90">
                  <c:v>357248496720554.87</c:v>
                </c:pt>
                <c:pt idx="91">
                  <c:v>343838392676644.37</c:v>
                </c:pt>
                <c:pt idx="92">
                  <c:v>332146803764288.44</c:v>
                </c:pt>
                <c:pt idx="93">
                  <c:v>319845468471968.87</c:v>
                </c:pt>
                <c:pt idx="94">
                  <c:v>308328309726347.12</c:v>
                </c:pt>
                <c:pt idx="95">
                  <c:v>297486533618272.75</c:v>
                </c:pt>
                <c:pt idx="96">
                  <c:v>286159504933067.44</c:v>
                </c:pt>
                <c:pt idx="97">
                  <c:v>275995855894748.12</c:v>
                </c:pt>
                <c:pt idx="98">
                  <c:v>266561282447647.94</c:v>
                </c:pt>
                <c:pt idx="99">
                  <c:v>257278579155500.41</c:v>
                </c:pt>
                <c:pt idx="100">
                  <c:v>248464201574708.03</c:v>
                </c:pt>
                <c:pt idx="101">
                  <c:v>239353533984801.22</c:v>
                </c:pt>
                <c:pt idx="102">
                  <c:v>230735795418580.44</c:v>
                </c:pt>
                <c:pt idx="103">
                  <c:v>223373924361849.44</c:v>
                </c:pt>
                <c:pt idx="104">
                  <c:v>215198340747011.87</c:v>
                </c:pt>
                <c:pt idx="105">
                  <c:v>207868114746147.03</c:v>
                </c:pt>
                <c:pt idx="106">
                  <c:v>200582095845874.59</c:v>
                </c:pt>
                <c:pt idx="107">
                  <c:v>195076737089164.28</c:v>
                </c:pt>
                <c:pt idx="108">
                  <c:v>188827143272111.87</c:v>
                </c:pt>
                <c:pt idx="109">
                  <c:v>181792244025413.81</c:v>
                </c:pt>
                <c:pt idx="110">
                  <c:v>176767128050752.59</c:v>
                </c:pt>
                <c:pt idx="111">
                  <c:v>171337315296003.25</c:v>
                </c:pt>
                <c:pt idx="112">
                  <c:v>165922769955162.66</c:v>
                </c:pt>
                <c:pt idx="113">
                  <c:v>160467915272472.62</c:v>
                </c:pt>
                <c:pt idx="114">
                  <c:v>156778410898417.81</c:v>
                </c:pt>
                <c:pt idx="115">
                  <c:v>151704996608907.37</c:v>
                </c:pt>
              </c:numCache>
            </c:numRef>
          </c:xVal>
          <c:yVal>
            <c:numRef>
              <c:f>Calc!$S$15:$S$130</c:f>
              <c:numCache>
                <c:formatCode>0</c:formatCode>
                <c:ptCount val="116"/>
                <c:pt idx="0">
                  <c:v>12239.261453411029</c:v>
                </c:pt>
                <c:pt idx="1">
                  <c:v>11896.999443241515</c:v>
                </c:pt>
                <c:pt idx="2">
                  <c:v>11548.338749765946</c:v>
                </c:pt>
                <c:pt idx="3">
                  <c:v>11191.753993899069</c:v>
                </c:pt>
                <c:pt idx="4">
                  <c:v>10854.213133602732</c:v>
                </c:pt>
                <c:pt idx="5">
                  <c:v>10533.519313133955</c:v>
                </c:pt>
                <c:pt idx="6">
                  <c:v>10201.603865059418</c:v>
                </c:pt>
                <c:pt idx="7">
                  <c:v>9915.3576731757494</c:v>
                </c:pt>
                <c:pt idx="8">
                  <c:v>9612.2565364752263</c:v>
                </c:pt>
                <c:pt idx="9">
                  <c:v>9312.2717517796282</c:v>
                </c:pt>
                <c:pt idx="10">
                  <c:v>9056.0371415925947</c:v>
                </c:pt>
                <c:pt idx="11">
                  <c:v>8779.2780096452225</c:v>
                </c:pt>
                <c:pt idx="12">
                  <c:v>8526.1375341956973</c:v>
                </c:pt>
                <c:pt idx="13">
                  <c:v>8284.3575706910342</c:v>
                </c:pt>
                <c:pt idx="14">
                  <c:v>8026.2451927149241</c:v>
                </c:pt>
                <c:pt idx="15">
                  <c:v>7823.6570120847082</c:v>
                </c:pt>
                <c:pt idx="16">
                  <c:v>7593.911736956773</c:v>
                </c:pt>
                <c:pt idx="17">
                  <c:v>7363.8319372213728</c:v>
                </c:pt>
                <c:pt idx="18">
                  <c:v>7188.0199208736421</c:v>
                </c:pt>
                <c:pt idx="19">
                  <c:v>6966.8707554926832</c:v>
                </c:pt>
                <c:pt idx="20">
                  <c:v>6779.8277646257875</c:v>
                </c:pt>
                <c:pt idx="21">
                  <c:v>6604.351744052502</c:v>
                </c:pt>
                <c:pt idx="22">
                  <c:v>6398.2326968179159</c:v>
                </c:pt>
                <c:pt idx="23">
                  <c:v>6262.3803072846267</c:v>
                </c:pt>
                <c:pt idx="24">
                  <c:v>6085.7113358876932</c:v>
                </c:pt>
                <c:pt idx="25">
                  <c:v>5900.4519146604607</c:v>
                </c:pt>
                <c:pt idx="26">
                  <c:v>5785.574166313927</c:v>
                </c:pt>
                <c:pt idx="27">
                  <c:v>5611.8403716299599</c:v>
                </c:pt>
                <c:pt idx="28">
                  <c:v>5467.4265611713436</c:v>
                </c:pt>
                <c:pt idx="29">
                  <c:v>5349.9802483296198</c:v>
                </c:pt>
                <c:pt idx="30">
                  <c:v>5168.787060027822</c:v>
                </c:pt>
                <c:pt idx="31">
                  <c:v>5089.6145818650366</c:v>
                </c:pt>
                <c:pt idx="32">
                  <c:v>4943.7599621651152</c:v>
                </c:pt>
                <c:pt idx="33">
                  <c:v>4790.6850212775289</c:v>
                </c:pt>
                <c:pt idx="34">
                  <c:v>4719.3277320563875</c:v>
                </c:pt>
                <c:pt idx="35">
                  <c:v>4577.3234446342249</c:v>
                </c:pt>
                <c:pt idx="36">
                  <c:v>4491.4814558431954</c:v>
                </c:pt>
                <c:pt idx="37">
                  <c:v>4410.0930328305221</c:v>
                </c:pt>
                <c:pt idx="38">
                  <c:v>4266.9900037016987</c:v>
                </c:pt>
                <c:pt idx="39">
                  <c:v>4224.5739305223788</c:v>
                </c:pt>
                <c:pt idx="40">
                  <c:v>4120.6201430634583</c:v>
                </c:pt>
                <c:pt idx="41">
                  <c:v>3965.8443419562241</c:v>
                </c:pt>
                <c:pt idx="42">
                  <c:v>3936.4750886248189</c:v>
                </c:pt>
                <c:pt idx="43">
                  <c:v>3818.912323904256</c:v>
                </c:pt>
                <c:pt idx="44">
                  <c:v>3694.5917506813894</c:v>
                </c:pt>
                <c:pt idx="45">
                  <c:v>3671.9185356088174</c:v>
                </c:pt>
                <c:pt idx="46">
                  <c:v>3537.8329508269521</c:v>
                </c:pt>
                <c:pt idx="47">
                  <c:v>3521.4401837524711</c:v>
                </c:pt>
                <c:pt idx="48">
                  <c:v>3453.1246953820719</c:v>
                </c:pt>
                <c:pt idx="49">
                  <c:v>3325.6657212670284</c:v>
                </c:pt>
                <c:pt idx="50">
                  <c:v>3349.3210907264702</c:v>
                </c:pt>
                <c:pt idx="51">
                  <c:v>3246.9352540642317</c:v>
                </c:pt>
                <c:pt idx="52">
                  <c:v>3127.1012501200998</c:v>
                </c:pt>
                <c:pt idx="53">
                  <c:v>3147.91694378903</c:v>
                </c:pt>
                <c:pt idx="54">
                  <c:v>3014.1590384349856</c:v>
                </c:pt>
                <c:pt idx="55">
                  <c:v>2981.0455600933715</c:v>
                </c:pt>
                <c:pt idx="56">
                  <c:v>2943.8880821737084</c:v>
                </c:pt>
                <c:pt idx="57">
                  <c:v>2800.3475198653255</c:v>
                </c:pt>
                <c:pt idx="58">
                  <c:v>2872.0450190821198</c:v>
                </c:pt>
                <c:pt idx="59">
                  <c:v>2776.4500294565883</c:v>
                </c:pt>
                <c:pt idx="60">
                  <c:v>2658.2516483261279</c:v>
                </c:pt>
                <c:pt idx="61">
                  <c:v>2753.6113244703429</c:v>
                </c:pt>
                <c:pt idx="62">
                  <c:v>2652.3467773312777</c:v>
                </c:pt>
                <c:pt idx="63">
                  <c:v>2557.134653216237</c:v>
                </c:pt>
                <c:pt idx="64">
                  <c:v>2597.5220322482869</c:v>
                </c:pt>
                <c:pt idx="65">
                  <c:v>2459.082061928917</c:v>
                </c:pt>
                <c:pt idx="66">
                  <c:v>2504.1202858064844</c:v>
                </c:pt>
                <c:pt idx="67">
                  <c:v>2465.4234449655437</c:v>
                </c:pt>
                <c:pt idx="68">
                  <c:v>2314.8800764073035</c:v>
                </c:pt>
                <c:pt idx="69">
                  <c:v>2441.804463272385</c:v>
                </c:pt>
                <c:pt idx="70">
                  <c:v>2352.3577505276598</c:v>
                </c:pt>
                <c:pt idx="71">
                  <c:v>2244.2902945045757</c:v>
                </c:pt>
                <c:pt idx="72">
                  <c:v>2358.4543219777624</c:v>
                </c:pt>
                <c:pt idx="73">
                  <c:v>2140.2899872862608</c:v>
                </c:pt>
                <c:pt idx="74">
                  <c:v>2321.3355475636536</c:v>
                </c:pt>
                <c:pt idx="75">
                  <c:v>2266.8278352097973</c:v>
                </c:pt>
                <c:pt idx="76">
                  <c:v>2087.5520143271865</c:v>
                </c:pt>
                <c:pt idx="77">
                  <c:v>2294.1808372307</c:v>
                </c:pt>
                <c:pt idx="78">
                  <c:v>2171.9328054732687</c:v>
                </c:pt>
                <c:pt idx="79">
                  <c:v>2064.6560453111483</c:v>
                </c:pt>
                <c:pt idx="80">
                  <c:v>2263.1631656977402</c:v>
                </c:pt>
                <c:pt idx="81">
                  <c:v>2047.7666143974266</c:v>
                </c:pt>
                <c:pt idx="82">
                  <c:v>2181.4381701808952</c:v>
                </c:pt>
                <c:pt idx="83">
                  <c:v>2228.2668655045563</c:v>
                </c:pt>
                <c:pt idx="84">
                  <c:v>1865.8846726113557</c:v>
                </c:pt>
                <c:pt idx="85">
                  <c:v>2298.890438129466</c:v>
                </c:pt>
                <c:pt idx="86">
                  <c:v>2217.2228240896902</c:v>
                </c:pt>
                <c:pt idx="87">
                  <c:v>2003.442631380276</c:v>
                </c:pt>
                <c:pt idx="88">
                  <c:v>2324.5139266209717</c:v>
                </c:pt>
                <c:pt idx="89">
                  <c:v>2039.368006293153</c:v>
                </c:pt>
                <c:pt idx="90">
                  <c:v>2282.8076937265</c:v>
                </c:pt>
                <c:pt idx="91">
                  <c:v>2239.6779461424239</c:v>
                </c:pt>
                <c:pt idx="92">
                  <c:v>1905.3029929228289</c:v>
                </c:pt>
                <c:pt idx="93">
                  <c:v>2306.0072421210339</c:v>
                </c:pt>
                <c:pt idx="94">
                  <c:v>2151.0297524806838</c:v>
                </c:pt>
                <c:pt idx="95">
                  <c:v>2024.167938518905</c:v>
                </c:pt>
                <c:pt idx="96">
                  <c:v>2326.5579273562125</c:v>
                </c:pt>
                <c:pt idx="97">
                  <c:v>1941.5454790531082</c:v>
                </c:pt>
                <c:pt idx="98">
                  <c:v>2250.5512920856959</c:v>
                </c:pt>
                <c:pt idx="99">
                  <c:v>2333.48941664734</c:v>
                </c:pt>
                <c:pt idx="100">
                  <c:v>1927.3762381849185</c:v>
                </c:pt>
                <c:pt idx="101">
                  <c:v>2490.7432564044061</c:v>
                </c:pt>
                <c:pt idx="102">
                  <c:v>2347.4603454589269</c:v>
                </c:pt>
                <c:pt idx="103">
                  <c:v>1995.7048212374086</c:v>
                </c:pt>
                <c:pt idx="104">
                  <c:v>2581.1832967943742</c:v>
                </c:pt>
                <c:pt idx="105">
                  <c:v>2157.8519615738646</c:v>
                </c:pt>
                <c:pt idx="106">
                  <c:v>2526.493969817016</c:v>
                </c:pt>
                <c:pt idx="107">
                  <c:v>2584.51583340244</c:v>
                </c:pt>
                <c:pt idx="108">
                  <c:v>2040.1611192341525</c:v>
                </c:pt>
                <c:pt idx="109">
                  <c:v>2837.2358555701412</c:v>
                </c:pt>
                <c:pt idx="110">
                  <c:v>2541.0090830474655</c:v>
                </c:pt>
                <c:pt idx="111">
                  <c:v>2387.565992872057</c:v>
                </c:pt>
                <c:pt idx="112">
                  <c:v>2920.1289873634264</c:v>
                </c:pt>
                <c:pt idx="113">
                  <c:v>2378.595346314421</c:v>
                </c:pt>
                <c:pt idx="114">
                  <c:v>2896.6488337216574</c:v>
                </c:pt>
                <c:pt idx="115">
                  <c:v>2902.5858423193717</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7819653846977320</c:v>
                </c:pt>
                <c:pt idx="1">
                  <c:v>7529106303172681</c:v>
                </c:pt>
                <c:pt idx="2">
                  <c:v>7240838114708719</c:v>
                </c:pt>
                <c:pt idx="3">
                  <c:v>6957994349400993</c:v>
                </c:pt>
                <c:pt idx="4">
                  <c:v>6685751356152515</c:v>
                </c:pt>
                <c:pt idx="5">
                  <c:v>6423987082665524</c:v>
                </c:pt>
                <c:pt idx="6">
                  <c:v>6173260391428934</c:v>
                </c:pt>
                <c:pt idx="7">
                  <c:v>5934470342486079</c:v>
                </c:pt>
                <c:pt idx="8">
                  <c:v>5705928596947935</c:v>
                </c:pt>
                <c:pt idx="9">
                  <c:v>5487981409533569</c:v>
                </c:pt>
                <c:pt idx="10">
                  <c:v>5279140938784232</c:v>
                </c:pt>
                <c:pt idx="11">
                  <c:v>5079038322726614</c:v>
                </c:pt>
                <c:pt idx="12">
                  <c:v>4888945383497467</c:v>
                </c:pt>
                <c:pt idx="13">
                  <c:v>4707078034554299</c:v>
                </c:pt>
                <c:pt idx="14">
                  <c:v>4534386484947477</c:v>
                </c:pt>
                <c:pt idx="15">
                  <c:v>4369637826078056</c:v>
                </c:pt>
                <c:pt idx="16">
                  <c:v>4211130389768981</c:v>
                </c:pt>
                <c:pt idx="17">
                  <c:v>4059693690977409</c:v>
                </c:pt>
                <c:pt idx="18">
                  <c:v>3915051365799600.5</c:v>
                </c:pt>
                <c:pt idx="19">
                  <c:v>3777391503419801.5</c:v>
                </c:pt>
                <c:pt idx="20">
                  <c:v>3645283068023184</c:v>
                </c:pt>
                <c:pt idx="21">
                  <c:v>3518164805781539.5</c:v>
                </c:pt>
                <c:pt idx="22">
                  <c:v>3397013458479484</c:v>
                </c:pt>
                <c:pt idx="23">
                  <c:v>3281239170397494.5</c:v>
                </c:pt>
                <c:pt idx="24">
                  <c:v>3169704805721946</c:v>
                </c:pt>
                <c:pt idx="25">
                  <c:v>3061861028118759.5</c:v>
                </c:pt>
                <c:pt idx="26">
                  <c:v>2958950718217559</c:v>
                </c:pt>
                <c:pt idx="27">
                  <c:v>2860407854364167.5</c:v>
                </c:pt>
                <c:pt idx="28">
                  <c:v>2765949848676798.5</c:v>
                </c:pt>
                <c:pt idx="29">
                  <c:v>2673850634950063.5</c:v>
                </c:pt>
                <c:pt idx="30">
                  <c:v>2587131206289060</c:v>
                </c:pt>
                <c:pt idx="31">
                  <c:v>2501974474969103.5</c:v>
                </c:pt>
                <c:pt idx="32">
                  <c:v>2421528536526037</c:v>
                </c:pt>
                <c:pt idx="33">
                  <c:v>2343481311620845.5</c:v>
                </c:pt>
                <c:pt idx="34">
                  <c:v>2267154283863490</c:v>
                </c:pt>
                <c:pt idx="35">
                  <c:v>2194801256365321</c:v>
                </c:pt>
                <c:pt idx="36">
                  <c:v>2124089956570445.5</c:v>
                </c:pt>
                <c:pt idx="37">
                  <c:v>2056249407246207.2</c:v>
                </c:pt>
                <c:pt idx="38">
                  <c:v>1991737917425052.2</c:v>
                </c:pt>
                <c:pt idx="39">
                  <c:v>1928587019507919.5</c:v>
                </c:pt>
                <c:pt idx="40">
                  <c:v>1868287424157004</c:v>
                </c:pt>
                <c:pt idx="41">
                  <c:v>1808986327497433.5</c:v>
                </c:pt>
                <c:pt idx="42">
                  <c:v>1752466504942248.3</c:v>
                </c:pt>
                <c:pt idx="43">
                  <c:v>1697738957393044.5</c:v>
                </c:pt>
                <c:pt idx="44">
                  <c:v>1645338890713628</c:v>
                </c:pt>
                <c:pt idx="45">
                  <c:v>1593108604489832</c:v>
                </c:pt>
                <c:pt idx="46">
                  <c:v>1543732199206721.2</c:v>
                </c:pt>
                <c:pt idx="47">
                  <c:v>1496477716623886.7</c:v>
                </c:pt>
                <c:pt idx="48">
                  <c:v>1449931398779417.8</c:v>
                </c:pt>
                <c:pt idx="49">
                  <c:v>1404758742900291.5</c:v>
                </c:pt>
                <c:pt idx="50">
                  <c:v>1360149093226980.5</c:v>
                </c:pt>
                <c:pt idx="51">
                  <c:v>1318339533162401.5</c:v>
                </c:pt>
                <c:pt idx="52">
                  <c:v>1276366761606454.7</c:v>
                </c:pt>
                <c:pt idx="53">
                  <c:v>1236397842097094.7</c:v>
                </c:pt>
                <c:pt idx="54">
                  <c:v>1198299764662150</c:v>
                </c:pt>
                <c:pt idx="55">
                  <c:v>1159718392552213</c:v>
                </c:pt>
                <c:pt idx="56">
                  <c:v>1124068435231203.9</c:v>
                </c:pt>
                <c:pt idx="57">
                  <c:v>1088875466666235.9</c:v>
                </c:pt>
                <c:pt idx="58">
                  <c:v>1054362756301558.5</c:v>
                </c:pt>
                <c:pt idx="59">
                  <c:v>1021130950439912.6</c:v>
                </c:pt>
                <c:pt idx="60">
                  <c:v>989273239742595.87</c:v>
                </c:pt>
                <c:pt idx="61">
                  <c:v>957932029709215.12</c:v>
                </c:pt>
                <c:pt idx="62">
                  <c:v>927748163589670.12</c:v>
                </c:pt>
                <c:pt idx="63">
                  <c:v>898480048585541.12</c:v>
                </c:pt>
                <c:pt idx="64">
                  <c:v>870180597539535.87</c:v>
                </c:pt>
                <c:pt idx="65">
                  <c:v>842429428213472.37</c:v>
                </c:pt>
                <c:pt idx="66">
                  <c:v>815349169601617.62</c:v>
                </c:pt>
                <c:pt idx="67">
                  <c:v>789885038373114.25</c:v>
                </c:pt>
                <c:pt idx="68">
                  <c:v>764544536336321.25</c:v>
                </c:pt>
                <c:pt idx="69">
                  <c:v>739269059207523.62</c:v>
                </c:pt>
                <c:pt idx="70">
                  <c:v>716021326909982.25</c:v>
                </c:pt>
                <c:pt idx="71">
                  <c:v>692266332516810.37</c:v>
                </c:pt>
                <c:pt idx="72">
                  <c:v>670072716891285.62</c:v>
                </c:pt>
                <c:pt idx="73">
                  <c:v>647815047428276.62</c:v>
                </c:pt>
                <c:pt idx="74">
                  <c:v>625785549285674.75</c:v>
                </c:pt>
                <c:pt idx="75">
                  <c:v>605310548051345</c:v>
                </c:pt>
                <c:pt idx="76">
                  <c:v>585736810058109.62</c:v>
                </c:pt>
                <c:pt idx="77">
                  <c:v>565764364024041.25</c:v>
                </c:pt>
                <c:pt idx="78">
                  <c:v>547201082126506.75</c:v>
                </c:pt>
                <c:pt idx="79">
                  <c:v>527604469491761.62</c:v>
                </c:pt>
                <c:pt idx="80">
                  <c:v>510336898699577.94</c:v>
                </c:pt>
                <c:pt idx="81">
                  <c:v>492560090053309</c:v>
                </c:pt>
                <c:pt idx="82">
                  <c:v>475180905095689</c:v>
                </c:pt>
                <c:pt idx="83">
                  <c:v>459202143652602.69</c:v>
                </c:pt>
                <c:pt idx="84">
                  <c:v>443262186820079</c:v>
                </c:pt>
                <c:pt idx="85">
                  <c:v>427663240158095.31</c:v>
                </c:pt>
                <c:pt idx="86">
                  <c:v>412882329625965.69</c:v>
                </c:pt>
                <c:pt idx="87">
                  <c:v>398440603892279.87</c:v>
                </c:pt>
                <c:pt idx="88">
                  <c:v>383485783775520.37</c:v>
                </c:pt>
                <c:pt idx="89">
                  <c:v>369980620623459.94</c:v>
                </c:pt>
                <c:pt idx="90">
                  <c:v>357248496720554.87</c:v>
                </c:pt>
                <c:pt idx="91">
                  <c:v>343838392676644.37</c:v>
                </c:pt>
                <c:pt idx="92">
                  <c:v>332146803764288.44</c:v>
                </c:pt>
                <c:pt idx="93">
                  <c:v>319845468471968.87</c:v>
                </c:pt>
                <c:pt idx="94">
                  <c:v>308328309726347.12</c:v>
                </c:pt>
                <c:pt idx="95">
                  <c:v>297486533618272.75</c:v>
                </c:pt>
                <c:pt idx="96">
                  <c:v>286159504933067.44</c:v>
                </c:pt>
                <c:pt idx="97">
                  <c:v>275995855894748.12</c:v>
                </c:pt>
                <c:pt idx="98">
                  <c:v>266561282447647.94</c:v>
                </c:pt>
                <c:pt idx="99">
                  <c:v>257278579155500.41</c:v>
                </c:pt>
                <c:pt idx="100">
                  <c:v>248464201574708.03</c:v>
                </c:pt>
                <c:pt idx="101">
                  <c:v>239353533984801.22</c:v>
                </c:pt>
                <c:pt idx="102">
                  <c:v>230735795418580.44</c:v>
                </c:pt>
                <c:pt idx="103">
                  <c:v>223373924361849.44</c:v>
                </c:pt>
                <c:pt idx="104">
                  <c:v>215198340747011.87</c:v>
                </c:pt>
                <c:pt idx="105">
                  <c:v>207868114746147.03</c:v>
                </c:pt>
                <c:pt idx="106">
                  <c:v>200582095845874.59</c:v>
                </c:pt>
                <c:pt idx="107">
                  <c:v>195076737089164.28</c:v>
                </c:pt>
                <c:pt idx="108">
                  <c:v>188827143272111.87</c:v>
                </c:pt>
                <c:pt idx="109">
                  <c:v>181792244025413.81</c:v>
                </c:pt>
                <c:pt idx="110">
                  <c:v>176767128050752.59</c:v>
                </c:pt>
                <c:pt idx="111">
                  <c:v>171337315296003.25</c:v>
                </c:pt>
                <c:pt idx="112">
                  <c:v>165922769955162.66</c:v>
                </c:pt>
                <c:pt idx="113">
                  <c:v>160467915272472.62</c:v>
                </c:pt>
                <c:pt idx="114">
                  <c:v>156778410898417.81</c:v>
                </c:pt>
                <c:pt idx="115">
                  <c:v>151704996608907.37</c:v>
                </c:pt>
              </c:numCache>
            </c:numRef>
          </c:xVal>
          <c:yVal>
            <c:numRef>
              <c:f>Calc!$S$15:$S$130</c:f>
              <c:numCache>
                <c:formatCode>0</c:formatCode>
                <c:ptCount val="116"/>
                <c:pt idx="0">
                  <c:v>12239.261453411029</c:v>
                </c:pt>
                <c:pt idx="1">
                  <c:v>11896.999443241515</c:v>
                </c:pt>
                <c:pt idx="2">
                  <c:v>11548.338749765946</c:v>
                </c:pt>
                <c:pt idx="3">
                  <c:v>11191.753993899069</c:v>
                </c:pt>
                <c:pt idx="4">
                  <c:v>10854.213133602732</c:v>
                </c:pt>
                <c:pt idx="5">
                  <c:v>10533.519313133955</c:v>
                </c:pt>
                <c:pt idx="6">
                  <c:v>10201.603865059418</c:v>
                </c:pt>
                <c:pt idx="7">
                  <c:v>9915.3576731757494</c:v>
                </c:pt>
                <c:pt idx="8">
                  <c:v>9612.2565364752263</c:v>
                </c:pt>
                <c:pt idx="9">
                  <c:v>9312.2717517796282</c:v>
                </c:pt>
                <c:pt idx="10">
                  <c:v>9056.0371415925947</c:v>
                </c:pt>
                <c:pt idx="11">
                  <c:v>8779.2780096452225</c:v>
                </c:pt>
                <c:pt idx="12">
                  <c:v>8526.1375341956973</c:v>
                </c:pt>
                <c:pt idx="13">
                  <c:v>8284.3575706910342</c:v>
                </c:pt>
                <c:pt idx="14">
                  <c:v>8026.2451927149241</c:v>
                </c:pt>
                <c:pt idx="15">
                  <c:v>7823.6570120847082</c:v>
                </c:pt>
                <c:pt idx="16">
                  <c:v>7593.911736956773</c:v>
                </c:pt>
                <c:pt idx="17">
                  <c:v>7363.8319372213728</c:v>
                </c:pt>
                <c:pt idx="18">
                  <c:v>7188.0199208736421</c:v>
                </c:pt>
                <c:pt idx="19">
                  <c:v>6966.8707554926832</c:v>
                </c:pt>
                <c:pt idx="20">
                  <c:v>6779.8277646257875</c:v>
                </c:pt>
                <c:pt idx="21">
                  <c:v>6604.351744052502</c:v>
                </c:pt>
                <c:pt idx="22">
                  <c:v>6398.2326968179159</c:v>
                </c:pt>
                <c:pt idx="23">
                  <c:v>6262.3803072846267</c:v>
                </c:pt>
                <c:pt idx="24">
                  <c:v>6085.7113358876932</c:v>
                </c:pt>
                <c:pt idx="25">
                  <c:v>5900.4519146604607</c:v>
                </c:pt>
                <c:pt idx="26">
                  <c:v>5785.574166313927</c:v>
                </c:pt>
                <c:pt idx="27">
                  <c:v>5611.8403716299599</c:v>
                </c:pt>
                <c:pt idx="28">
                  <c:v>5467.4265611713436</c:v>
                </c:pt>
                <c:pt idx="29">
                  <c:v>5349.9802483296198</c:v>
                </c:pt>
                <c:pt idx="30">
                  <c:v>5168.787060027822</c:v>
                </c:pt>
                <c:pt idx="31">
                  <c:v>5089.6145818650366</c:v>
                </c:pt>
                <c:pt idx="32">
                  <c:v>4943.7599621651152</c:v>
                </c:pt>
                <c:pt idx="33">
                  <c:v>4790.6850212775289</c:v>
                </c:pt>
                <c:pt idx="34">
                  <c:v>4719.3277320563875</c:v>
                </c:pt>
                <c:pt idx="35">
                  <c:v>4577.3234446342249</c:v>
                </c:pt>
                <c:pt idx="36">
                  <c:v>4491.4814558431954</c:v>
                </c:pt>
                <c:pt idx="37">
                  <c:v>4410.0930328305221</c:v>
                </c:pt>
                <c:pt idx="38">
                  <c:v>4266.9900037016987</c:v>
                </c:pt>
                <c:pt idx="39">
                  <c:v>4224.5739305223788</c:v>
                </c:pt>
                <c:pt idx="40">
                  <c:v>4120.6201430634583</c:v>
                </c:pt>
                <c:pt idx="41">
                  <c:v>3965.8443419562241</c:v>
                </c:pt>
                <c:pt idx="42">
                  <c:v>3936.4750886248189</c:v>
                </c:pt>
                <c:pt idx="43">
                  <c:v>3818.912323904256</c:v>
                </c:pt>
                <c:pt idx="44">
                  <c:v>3694.5917506813894</c:v>
                </c:pt>
                <c:pt idx="45">
                  <c:v>3671.9185356088174</c:v>
                </c:pt>
                <c:pt idx="46">
                  <c:v>3537.8329508269521</c:v>
                </c:pt>
                <c:pt idx="47">
                  <c:v>3521.4401837524711</c:v>
                </c:pt>
                <c:pt idx="48">
                  <c:v>3453.1246953820719</c:v>
                </c:pt>
                <c:pt idx="49">
                  <c:v>3325.6657212670284</c:v>
                </c:pt>
                <c:pt idx="50">
                  <c:v>3349.3210907264702</c:v>
                </c:pt>
                <c:pt idx="51">
                  <c:v>3246.9352540642317</c:v>
                </c:pt>
                <c:pt idx="52">
                  <c:v>3127.1012501200998</c:v>
                </c:pt>
                <c:pt idx="53">
                  <c:v>3147.91694378903</c:v>
                </c:pt>
                <c:pt idx="54">
                  <c:v>3014.1590384349856</c:v>
                </c:pt>
                <c:pt idx="55">
                  <c:v>2981.0455600933715</c:v>
                </c:pt>
                <c:pt idx="56">
                  <c:v>2943.8880821737084</c:v>
                </c:pt>
                <c:pt idx="57">
                  <c:v>2800.3475198653255</c:v>
                </c:pt>
                <c:pt idx="58">
                  <c:v>2872.0450190821198</c:v>
                </c:pt>
                <c:pt idx="59">
                  <c:v>2776.4500294565883</c:v>
                </c:pt>
                <c:pt idx="60">
                  <c:v>2658.2516483261279</c:v>
                </c:pt>
                <c:pt idx="61">
                  <c:v>2753.6113244703429</c:v>
                </c:pt>
                <c:pt idx="62">
                  <c:v>2652.3467773312777</c:v>
                </c:pt>
                <c:pt idx="63">
                  <c:v>2557.134653216237</c:v>
                </c:pt>
                <c:pt idx="64">
                  <c:v>2597.5220322482869</c:v>
                </c:pt>
                <c:pt idx="65">
                  <c:v>2459.082061928917</c:v>
                </c:pt>
                <c:pt idx="66">
                  <c:v>2504.1202858064844</c:v>
                </c:pt>
                <c:pt idx="67">
                  <c:v>2465.4234449655437</c:v>
                </c:pt>
                <c:pt idx="68">
                  <c:v>2314.8800764073035</c:v>
                </c:pt>
                <c:pt idx="69">
                  <c:v>2441.804463272385</c:v>
                </c:pt>
                <c:pt idx="70">
                  <c:v>2352.3577505276598</c:v>
                </c:pt>
                <c:pt idx="71">
                  <c:v>2244.2902945045757</c:v>
                </c:pt>
                <c:pt idx="72">
                  <c:v>2358.4543219777624</c:v>
                </c:pt>
                <c:pt idx="73">
                  <c:v>2140.2899872862608</c:v>
                </c:pt>
                <c:pt idx="74">
                  <c:v>2321.3355475636536</c:v>
                </c:pt>
                <c:pt idx="75">
                  <c:v>2266.8278352097973</c:v>
                </c:pt>
                <c:pt idx="76">
                  <c:v>2087.5520143271865</c:v>
                </c:pt>
                <c:pt idx="77">
                  <c:v>2294.1808372307</c:v>
                </c:pt>
                <c:pt idx="78">
                  <c:v>2171.9328054732687</c:v>
                </c:pt>
                <c:pt idx="79">
                  <c:v>2064.6560453111483</c:v>
                </c:pt>
                <c:pt idx="80">
                  <c:v>2263.1631656977402</c:v>
                </c:pt>
                <c:pt idx="81">
                  <c:v>2047.7666143974266</c:v>
                </c:pt>
                <c:pt idx="82">
                  <c:v>2181.4381701808952</c:v>
                </c:pt>
                <c:pt idx="83">
                  <c:v>2228.2668655045563</c:v>
                </c:pt>
                <c:pt idx="84">
                  <c:v>1865.8846726113557</c:v>
                </c:pt>
                <c:pt idx="85">
                  <c:v>2298.890438129466</c:v>
                </c:pt>
                <c:pt idx="86">
                  <c:v>2217.2228240896902</c:v>
                </c:pt>
                <c:pt idx="87">
                  <c:v>2003.442631380276</c:v>
                </c:pt>
                <c:pt idx="88">
                  <c:v>2324.5139266209717</c:v>
                </c:pt>
                <c:pt idx="89">
                  <c:v>2039.368006293153</c:v>
                </c:pt>
                <c:pt idx="90">
                  <c:v>2282.8076937265</c:v>
                </c:pt>
                <c:pt idx="91">
                  <c:v>2239.6779461424239</c:v>
                </c:pt>
                <c:pt idx="92">
                  <c:v>1905.3029929228289</c:v>
                </c:pt>
                <c:pt idx="93">
                  <c:v>2306.0072421210339</c:v>
                </c:pt>
                <c:pt idx="94">
                  <c:v>2151.0297524806838</c:v>
                </c:pt>
                <c:pt idx="95">
                  <c:v>2024.167938518905</c:v>
                </c:pt>
                <c:pt idx="96">
                  <c:v>2326.5579273562125</c:v>
                </c:pt>
                <c:pt idx="97">
                  <c:v>1941.5454790531082</c:v>
                </c:pt>
                <c:pt idx="98">
                  <c:v>2250.5512920856959</c:v>
                </c:pt>
                <c:pt idx="99">
                  <c:v>2333.48941664734</c:v>
                </c:pt>
                <c:pt idx="100">
                  <c:v>1927.3762381849185</c:v>
                </c:pt>
                <c:pt idx="101">
                  <c:v>2490.7432564044061</c:v>
                </c:pt>
                <c:pt idx="102">
                  <c:v>2347.4603454589269</c:v>
                </c:pt>
                <c:pt idx="103">
                  <c:v>1995.7048212374086</c:v>
                </c:pt>
                <c:pt idx="104">
                  <c:v>2581.1832967943742</c:v>
                </c:pt>
                <c:pt idx="105">
                  <c:v>2157.8519615738646</c:v>
                </c:pt>
                <c:pt idx="106">
                  <c:v>2526.493969817016</c:v>
                </c:pt>
                <c:pt idx="107">
                  <c:v>2584.51583340244</c:v>
                </c:pt>
                <c:pt idx="108">
                  <c:v>2040.1611192341525</c:v>
                </c:pt>
                <c:pt idx="109">
                  <c:v>2837.2358555701412</c:v>
                </c:pt>
                <c:pt idx="110">
                  <c:v>2541.0090830474655</c:v>
                </c:pt>
                <c:pt idx="111">
                  <c:v>2387.565992872057</c:v>
                </c:pt>
                <c:pt idx="112">
                  <c:v>2920.1289873634264</c:v>
                </c:pt>
                <c:pt idx="113">
                  <c:v>2378.595346314421</c:v>
                </c:pt>
                <c:pt idx="114">
                  <c:v>2896.6488337216574</c:v>
                </c:pt>
                <c:pt idx="115">
                  <c:v>2902.5858423193717</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8280128858683653</c:v>
                </c:pt>
                <c:pt idx="1">
                  <c:v>8318371307832016</c:v>
                </c:pt>
                <c:pt idx="2">
                  <c:v>8100663770522564</c:v>
                </c:pt>
                <c:pt idx="3">
                  <c:v>7819653846977320</c:v>
                </c:pt>
                <c:pt idx="4">
                  <c:v>7529106303172681</c:v>
                </c:pt>
                <c:pt idx="5">
                  <c:v>7240838114708719</c:v>
                </c:pt>
                <c:pt idx="6">
                  <c:v>6957994349400993</c:v>
                </c:pt>
                <c:pt idx="7">
                  <c:v>6685751356152515</c:v>
                </c:pt>
                <c:pt idx="8">
                  <c:v>6423987082665524</c:v>
                </c:pt>
                <c:pt idx="9">
                  <c:v>6173260391428934</c:v>
                </c:pt>
                <c:pt idx="10">
                  <c:v>5934470342486079</c:v>
                </c:pt>
                <c:pt idx="11">
                  <c:v>5705928596947935</c:v>
                </c:pt>
                <c:pt idx="12">
                  <c:v>5487981409533569</c:v>
                </c:pt>
                <c:pt idx="13">
                  <c:v>5279140938784232</c:v>
                </c:pt>
                <c:pt idx="14">
                  <c:v>5079038322726614</c:v>
                </c:pt>
                <c:pt idx="15">
                  <c:v>4888945383497467</c:v>
                </c:pt>
                <c:pt idx="16">
                  <c:v>4707078034554299</c:v>
                </c:pt>
                <c:pt idx="17">
                  <c:v>4534386484947477</c:v>
                </c:pt>
                <c:pt idx="18">
                  <c:v>4369637826078056</c:v>
                </c:pt>
                <c:pt idx="19">
                  <c:v>4211130389768981</c:v>
                </c:pt>
                <c:pt idx="20">
                  <c:v>4059693690977409</c:v>
                </c:pt>
                <c:pt idx="21">
                  <c:v>3915051365799600.5</c:v>
                </c:pt>
                <c:pt idx="22">
                  <c:v>3777391503419801.5</c:v>
                </c:pt>
                <c:pt idx="23">
                  <c:v>3645283068023184</c:v>
                </c:pt>
                <c:pt idx="24">
                  <c:v>3518164805781539.5</c:v>
                </c:pt>
                <c:pt idx="25">
                  <c:v>3397013458479484</c:v>
                </c:pt>
                <c:pt idx="26">
                  <c:v>3281239170397494.5</c:v>
                </c:pt>
                <c:pt idx="27">
                  <c:v>3169704805721946</c:v>
                </c:pt>
                <c:pt idx="28">
                  <c:v>3061861028118759.5</c:v>
                </c:pt>
                <c:pt idx="29">
                  <c:v>2958950718217559</c:v>
                </c:pt>
                <c:pt idx="30">
                  <c:v>2860407854364167.5</c:v>
                </c:pt>
                <c:pt idx="31">
                  <c:v>2765949848676798.5</c:v>
                </c:pt>
                <c:pt idx="32">
                  <c:v>2673850634950063.5</c:v>
                </c:pt>
                <c:pt idx="33">
                  <c:v>2587131206289060</c:v>
                </c:pt>
                <c:pt idx="34">
                  <c:v>2501974474969103.5</c:v>
                </c:pt>
                <c:pt idx="35">
                  <c:v>2421528536526037</c:v>
                </c:pt>
                <c:pt idx="36">
                  <c:v>2343481311620845.5</c:v>
                </c:pt>
                <c:pt idx="37">
                  <c:v>2267154283863490</c:v>
                </c:pt>
                <c:pt idx="38">
                  <c:v>2194801256365321</c:v>
                </c:pt>
                <c:pt idx="39">
                  <c:v>2124089956570445.5</c:v>
                </c:pt>
                <c:pt idx="40">
                  <c:v>2056249407246207.2</c:v>
                </c:pt>
                <c:pt idx="41">
                  <c:v>1991737917425052.2</c:v>
                </c:pt>
                <c:pt idx="42">
                  <c:v>1928587019507919.5</c:v>
                </c:pt>
                <c:pt idx="43">
                  <c:v>1868287424157004</c:v>
                </c:pt>
                <c:pt idx="44">
                  <c:v>1808986327497433.5</c:v>
                </c:pt>
                <c:pt idx="45">
                  <c:v>1752466504942248.3</c:v>
                </c:pt>
                <c:pt idx="46">
                  <c:v>1697738957393044.5</c:v>
                </c:pt>
                <c:pt idx="47">
                  <c:v>1645338890713628</c:v>
                </c:pt>
                <c:pt idx="48">
                  <c:v>1593108604489832</c:v>
                </c:pt>
                <c:pt idx="49">
                  <c:v>1543732199206721.2</c:v>
                </c:pt>
                <c:pt idx="50">
                  <c:v>1496477716623886.7</c:v>
                </c:pt>
                <c:pt idx="51">
                  <c:v>1449931398779417.8</c:v>
                </c:pt>
                <c:pt idx="52">
                  <c:v>1404758742900291.5</c:v>
                </c:pt>
                <c:pt idx="53">
                  <c:v>1360149093226980.5</c:v>
                </c:pt>
                <c:pt idx="54">
                  <c:v>1318339533162401.5</c:v>
                </c:pt>
                <c:pt idx="55">
                  <c:v>1276366761606454.7</c:v>
                </c:pt>
                <c:pt idx="56">
                  <c:v>1236397842097094.7</c:v>
                </c:pt>
                <c:pt idx="57">
                  <c:v>1198299764662150</c:v>
                </c:pt>
                <c:pt idx="58">
                  <c:v>1159718392552213</c:v>
                </c:pt>
                <c:pt idx="59">
                  <c:v>1124068435231203.9</c:v>
                </c:pt>
                <c:pt idx="60">
                  <c:v>1088875466666235.9</c:v>
                </c:pt>
                <c:pt idx="61">
                  <c:v>1054362756301558.5</c:v>
                </c:pt>
                <c:pt idx="62">
                  <c:v>1021130950439912.6</c:v>
                </c:pt>
                <c:pt idx="63">
                  <c:v>989273239742595.87</c:v>
                </c:pt>
                <c:pt idx="64">
                  <c:v>957932029709215.12</c:v>
                </c:pt>
                <c:pt idx="65">
                  <c:v>927748163589670.12</c:v>
                </c:pt>
                <c:pt idx="66">
                  <c:v>898480048585541.12</c:v>
                </c:pt>
                <c:pt idx="67">
                  <c:v>870180597539535.87</c:v>
                </c:pt>
                <c:pt idx="68">
                  <c:v>842429428213472.37</c:v>
                </c:pt>
                <c:pt idx="69">
                  <c:v>815349169601617.62</c:v>
                </c:pt>
                <c:pt idx="70">
                  <c:v>789885038373114.25</c:v>
                </c:pt>
                <c:pt idx="71">
                  <c:v>764544536336321.25</c:v>
                </c:pt>
                <c:pt idx="72">
                  <c:v>739269059207523.62</c:v>
                </c:pt>
                <c:pt idx="73">
                  <c:v>716021326909982.25</c:v>
                </c:pt>
                <c:pt idx="74">
                  <c:v>692266332516810.37</c:v>
                </c:pt>
                <c:pt idx="75">
                  <c:v>670072716891285.62</c:v>
                </c:pt>
                <c:pt idx="76">
                  <c:v>647815047428276.62</c:v>
                </c:pt>
                <c:pt idx="77">
                  <c:v>625785549285674.75</c:v>
                </c:pt>
                <c:pt idx="78">
                  <c:v>605310548051345</c:v>
                </c:pt>
                <c:pt idx="79">
                  <c:v>585736810058109.62</c:v>
                </c:pt>
                <c:pt idx="80">
                  <c:v>565764364024041.25</c:v>
                </c:pt>
                <c:pt idx="81">
                  <c:v>547201082126506.75</c:v>
                </c:pt>
                <c:pt idx="82">
                  <c:v>527604469491761.62</c:v>
                </c:pt>
                <c:pt idx="83">
                  <c:v>510336898699577.94</c:v>
                </c:pt>
                <c:pt idx="84">
                  <c:v>492560090053309</c:v>
                </c:pt>
                <c:pt idx="85">
                  <c:v>475180905095689</c:v>
                </c:pt>
                <c:pt idx="86">
                  <c:v>459202143652602.69</c:v>
                </c:pt>
                <c:pt idx="87">
                  <c:v>443262186820079</c:v>
                </c:pt>
                <c:pt idx="88">
                  <c:v>427663240158095.31</c:v>
                </c:pt>
                <c:pt idx="89">
                  <c:v>412882329625965.69</c:v>
                </c:pt>
                <c:pt idx="90">
                  <c:v>398440603892279.87</c:v>
                </c:pt>
                <c:pt idx="91">
                  <c:v>383485783775520.37</c:v>
                </c:pt>
                <c:pt idx="92">
                  <c:v>369980620623459.94</c:v>
                </c:pt>
                <c:pt idx="93">
                  <c:v>357248496720554.87</c:v>
                </c:pt>
                <c:pt idx="94">
                  <c:v>343838392676644.37</c:v>
                </c:pt>
                <c:pt idx="95">
                  <c:v>332146803764288.44</c:v>
                </c:pt>
                <c:pt idx="96">
                  <c:v>319845468471968.87</c:v>
                </c:pt>
                <c:pt idx="97">
                  <c:v>308328309726347.12</c:v>
                </c:pt>
                <c:pt idx="98">
                  <c:v>297486533618272.75</c:v>
                </c:pt>
                <c:pt idx="99">
                  <c:v>286159504933067.44</c:v>
                </c:pt>
                <c:pt idx="100">
                  <c:v>275995855894748.12</c:v>
                </c:pt>
                <c:pt idx="101">
                  <c:v>266561282447647.94</c:v>
                </c:pt>
                <c:pt idx="102">
                  <c:v>257278579155500.41</c:v>
                </c:pt>
                <c:pt idx="103">
                  <c:v>248464201574708.03</c:v>
                </c:pt>
                <c:pt idx="104">
                  <c:v>239353533984801.22</c:v>
                </c:pt>
                <c:pt idx="105">
                  <c:v>230735795418580.44</c:v>
                </c:pt>
                <c:pt idx="106">
                  <c:v>223373924361849.44</c:v>
                </c:pt>
                <c:pt idx="107">
                  <c:v>215198340747011.87</c:v>
                </c:pt>
                <c:pt idx="108">
                  <c:v>207868114746147.03</c:v>
                </c:pt>
                <c:pt idx="109">
                  <c:v>200582095845874.59</c:v>
                </c:pt>
                <c:pt idx="110">
                  <c:v>195076737089164.28</c:v>
                </c:pt>
                <c:pt idx="111">
                  <c:v>188827143272111.87</c:v>
                </c:pt>
                <c:pt idx="112">
                  <c:v>181792244025413.81</c:v>
                </c:pt>
                <c:pt idx="113">
                  <c:v>176767128050752.59</c:v>
                </c:pt>
                <c:pt idx="114">
                  <c:v>171337315296003.25</c:v>
                </c:pt>
                <c:pt idx="115">
                  <c:v>165922769955162.66</c:v>
                </c:pt>
                <c:pt idx="116">
                  <c:v>160467915272472.62</c:v>
                </c:pt>
                <c:pt idx="117">
                  <c:v>156778410898417.81</c:v>
                </c:pt>
                <c:pt idx="118">
                  <c:v>151704996608907.37</c:v>
                </c:pt>
              </c:numCache>
            </c:numRef>
          </c:xVal>
          <c:yVal>
            <c:numRef>
              <c:f>Calc!$U$12:$U$130</c:f>
              <c:numCache>
                <c:formatCode>0</c:formatCode>
                <c:ptCount val="119"/>
                <c:pt idx="0">
                  <c:v>13250.497009770344</c:v>
                </c:pt>
                <c:pt idx="1">
                  <c:v>13305.674351023446</c:v>
                </c:pt>
                <c:pt idx="2">
                  <c:v>12991.559451297937</c:v>
                </c:pt>
                <c:pt idx="3">
                  <c:v>12586.109988926681</c:v>
                </c:pt>
                <c:pt idx="4">
                  <c:v>12166.899364822464</c:v>
                </c:pt>
                <c:pt idx="5">
                  <c:v>11750.977462289968</c:v>
                </c:pt>
                <c:pt idx="6">
                  <c:v>11342.882078567281</c:v>
                </c:pt>
                <c:pt idx="7">
                  <c:v>10950.081803565017</c:v>
                </c:pt>
                <c:pt idx="8">
                  <c:v>10572.400536603585</c:v>
                </c:pt>
                <c:pt idx="9">
                  <c:v>10210.644621077592</c:v>
                </c:pt>
                <c:pt idx="10">
                  <c:v>9866.111247515435</c:v>
                </c:pt>
                <c:pt idx="11">
                  <c:v>9536.3644304322661</c:v>
                </c:pt>
                <c:pt idx="12">
                  <c:v>9221.9037564189002</c:v>
                </c:pt>
                <c:pt idx="13">
                  <c:v>8920.5825236367218</c:v>
                </c:pt>
                <c:pt idx="14">
                  <c:v>8631.8685270771639</c:v>
                </c:pt>
                <c:pt idx="15">
                  <c:v>8357.5967894863024</c:v>
                </c:pt>
                <c:pt idx="16">
                  <c:v>8095.1931778216021</c:v>
                </c:pt>
                <c:pt idx="17">
                  <c:v>7846.0286819176999</c:v>
                </c:pt>
                <c:pt idx="18">
                  <c:v>7608.3244246364175</c:v>
                </c:pt>
                <c:pt idx="19">
                  <c:v>7379.6251886003156</c:v>
                </c:pt>
                <c:pt idx="20">
                  <c:v>7161.1278226222948</c:v>
                </c:pt>
                <c:pt idx="21">
                  <c:v>6952.4335806553263</c:v>
                </c:pt>
                <c:pt idx="22">
                  <c:v>6753.8138433598051</c:v>
                </c:pt>
                <c:pt idx="23">
                  <c:v>6563.2038697670323</c:v>
                </c:pt>
                <c:pt idx="24">
                  <c:v>6379.7938661870521</c:v>
                </c:pt>
                <c:pt idx="25">
                  <c:v>6204.9931046713718</c:v>
                </c:pt>
                <c:pt idx="26">
                  <c:v>6037.9505238719084</c:v>
                </c:pt>
                <c:pt idx="27">
                  <c:v>5877.025430469148</c:v>
                </c:pt>
                <c:pt idx="28">
                  <c:v>5721.4252256875643</c:v>
                </c:pt>
                <c:pt idx="29">
                  <c:v>5572.9431746073169</c:v>
                </c:pt>
                <c:pt idx="30">
                  <c:v>5430.7626043775672</c:v>
                </c:pt>
                <c:pt idx="31">
                  <c:v>5294.4757888109325</c:v>
                </c:pt>
                <c:pt idx="32">
                  <c:v>5161.5923083301868</c:v>
                </c:pt>
                <c:pt idx="33">
                  <c:v>5036.4709414967292</c:v>
                </c:pt>
                <c:pt idx="34">
                  <c:v>4913.6042807917347</c:v>
                </c:pt>
                <c:pt idx="35">
                  <c:v>4797.5344919380295</c:v>
                </c:pt>
                <c:pt idx="36">
                  <c:v>4684.9256382073409</c:v>
                </c:pt>
                <c:pt idx="37">
                  <c:v>4574.7987360033585</c:v>
                </c:pt>
                <c:pt idx="38">
                  <c:v>4470.4056393825476</c:v>
                </c:pt>
                <c:pt idx="39">
                  <c:v>4368.381276243681</c:v>
                </c:pt>
                <c:pt idx="40">
                  <c:v>4270.4989171317102</c:v>
                </c:pt>
                <c:pt idx="41">
                  <c:v>4177.4198239282814</c:v>
                </c:pt>
                <c:pt idx="42">
                  <c:v>4086.3038331271919</c:v>
                </c:pt>
                <c:pt idx="43">
                  <c:v>3999.3017863389878</c:v>
                </c:pt>
                <c:pt idx="44">
                  <c:v>3913.7404031133965</c:v>
                </c:pt>
                <c:pt idx="45">
                  <c:v>3832.1919247564424</c:v>
                </c:pt>
                <c:pt idx="46">
                  <c:v>3753.2293940003019</c:v>
                </c:pt>
                <c:pt idx="47">
                  <c:v>3677.6250217583843</c:v>
                </c:pt>
                <c:pt idx="48">
                  <c:v>3602.2656137995214</c:v>
                </c:pt>
                <c:pt idx="49">
                  <c:v>3531.023870008793</c:v>
                </c:pt>
                <c:pt idx="50">
                  <c:v>3462.843699301201</c:v>
                </c:pt>
                <c:pt idx="51">
                  <c:v>3395.6852897073027</c:v>
                </c:pt>
                <c:pt idx="52">
                  <c:v>3330.5088403883356</c:v>
                </c:pt>
                <c:pt idx="53">
                  <c:v>3266.144713141769</c:v>
                </c:pt>
                <c:pt idx="54">
                  <c:v>3205.8206383322431</c:v>
                </c:pt>
                <c:pt idx="55">
                  <c:v>3145.2610771363552</c:v>
                </c:pt>
                <c:pt idx="56">
                  <c:v>3087.5927331783137</c:v>
                </c:pt>
                <c:pt idx="57">
                  <c:v>3032.6236957204965</c:v>
                </c:pt>
                <c:pt idx="58">
                  <c:v>2976.9573463540096</c:v>
                </c:pt>
                <c:pt idx="59">
                  <c:v>2925.5205292942942</c:v>
                </c:pt>
                <c:pt idx="60">
                  <c:v>2874.7430691822228</c:v>
                </c:pt>
                <c:pt idx="61">
                  <c:v>2824.9471058020172</c:v>
                </c:pt>
                <c:pt idx="62">
                  <c:v>2776.9992694756575</c:v>
                </c:pt>
                <c:pt idx="63">
                  <c:v>2731.0340184565903</c:v>
                </c:pt>
                <c:pt idx="64">
                  <c:v>2685.8139899331031</c:v>
                </c:pt>
                <c:pt idx="65">
                  <c:v>2642.2638115761983</c:v>
                </c:pt>
                <c:pt idx="66">
                  <c:v>2600.0349061221405</c:v>
                </c:pt>
                <c:pt idx="67">
                  <c:v>2559.2036177916516</c:v>
                </c:pt>
                <c:pt idx="68">
                  <c:v>2519.1634066080969</c:v>
                </c:pt>
                <c:pt idx="69">
                  <c:v>2480.0912053259126</c:v>
                </c:pt>
                <c:pt idx="70">
                  <c:v>2443.3508006238499</c:v>
                </c:pt>
                <c:pt idx="71">
                  <c:v>2406.7887717907961</c:v>
                </c:pt>
                <c:pt idx="72">
                  <c:v>2370.3205628259338</c:v>
                </c:pt>
                <c:pt idx="73">
                  <c:v>2336.7780443181437</c:v>
                </c:pt>
                <c:pt idx="74">
                  <c:v>2302.5036329954669</c:v>
                </c:pt>
                <c:pt idx="75">
                  <c:v>2270.4820253243961</c:v>
                </c:pt>
                <c:pt idx="76">
                  <c:v>2238.3679988745043</c:v>
                </c:pt>
                <c:pt idx="77">
                  <c:v>2206.5831847813165</c:v>
                </c:pt>
                <c:pt idx="78">
                  <c:v>2177.0412449886699</c:v>
                </c:pt>
                <c:pt idx="79">
                  <c:v>2148.7996745635764</c:v>
                </c:pt>
                <c:pt idx="80">
                  <c:v>2119.9828363374054</c:v>
                </c:pt>
                <c:pt idx="81">
                  <c:v>2093.1991819730088</c:v>
                </c:pt>
                <c:pt idx="82">
                  <c:v>2064.9246073358754</c:v>
                </c:pt>
                <c:pt idx="83">
                  <c:v>2040.0104434308369</c:v>
                </c:pt>
                <c:pt idx="84">
                  <c:v>2014.3615360279423</c:v>
                </c:pt>
                <c:pt idx="85">
                  <c:v>1989.2863318905941</c:v>
                </c:pt>
                <c:pt idx="86">
                  <c:v>1966.2317003860421</c:v>
                </c:pt>
                <c:pt idx="87">
                  <c:v>1943.2330573259255</c:v>
                </c:pt>
                <c:pt idx="88">
                  <c:v>1920.7264338662708</c:v>
                </c:pt>
                <c:pt idx="89">
                  <c:v>1899.4000972266158</c:v>
                </c:pt>
                <c:pt idx="90">
                  <c:v>1878.5631464863573</c:v>
                </c:pt>
                <c:pt idx="91">
                  <c:v>1856.9858879336971</c:v>
                </c:pt>
                <c:pt idx="92">
                  <c:v>1837.5002374977353</c:v>
                </c:pt>
                <c:pt idx="93">
                  <c:v>1819.129951046104</c:v>
                </c:pt>
                <c:pt idx="94">
                  <c:v>1799.7814547141918</c:v>
                </c:pt>
                <c:pt idx="95">
                  <c:v>1782.9124830459466</c:v>
                </c:pt>
                <c:pt idx="96">
                  <c:v>1765.1637511940748</c:v>
                </c:pt>
                <c:pt idx="97">
                  <c:v>1748.5464525501538</c:v>
                </c:pt>
                <c:pt idx="98">
                  <c:v>1732.903616031391</c:v>
                </c:pt>
                <c:pt idx="99">
                  <c:v>1716.560642684612</c:v>
                </c:pt>
                <c:pt idx="100">
                  <c:v>1701.8962280392936</c:v>
                </c:pt>
                <c:pt idx="101">
                  <c:v>1688.2837453071206</c:v>
                </c:pt>
                <c:pt idx="102">
                  <c:v>1674.8903853443464</c:v>
                </c:pt>
                <c:pt idx="103">
                  <c:v>1662.1727396249985</c:v>
                </c:pt>
                <c:pt idx="104">
                  <c:v>1649.0275978820728</c:v>
                </c:pt>
                <c:pt idx="105">
                  <c:v>1636.5936687722074</c:v>
                </c:pt>
                <c:pt idx="106">
                  <c:v>1625.971742598424</c:v>
                </c:pt>
                <c:pt idx="107">
                  <c:v>1614.175767782348</c:v>
                </c:pt>
                <c:pt idx="108">
                  <c:v>1603.5995000348785</c:v>
                </c:pt>
                <c:pt idx="109">
                  <c:v>1593.0870156048877</c:v>
                </c:pt>
                <c:pt idx="110">
                  <c:v>1585.1437205073048</c:v>
                </c:pt>
                <c:pt idx="111">
                  <c:v>1576.1266209643604</c:v>
                </c:pt>
                <c:pt idx="112">
                  <c:v>1565.9764594276257</c:v>
                </c:pt>
                <c:pt idx="113">
                  <c:v>1558.7260728769475</c:v>
                </c:pt>
                <c:pt idx="114">
                  <c:v>1550.8917777943566</c:v>
                </c:pt>
                <c:pt idx="115">
                  <c:v>1543.0795109899241</c:v>
                </c:pt>
                <c:pt idx="116">
                  <c:v>1535.2090846700726</c:v>
                </c:pt>
                <c:pt idx="117">
                  <c:v>1529.8857581981656</c:v>
                </c:pt>
                <c:pt idx="118">
                  <c:v>1522.5656854045887</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2746.5109066905734</c:v>
                </c:pt>
              </c:numCache>
            </c:numRef>
          </c:yVal>
          <c:smooth val="0"/>
        </c:ser>
        <c:dLbls>
          <c:showLegendKey val="0"/>
          <c:showVal val="0"/>
          <c:showCatName val="0"/>
          <c:showSerName val="0"/>
          <c:showPercent val="0"/>
          <c:showBubbleSize val="0"/>
        </c:dLbls>
        <c:axId val="273700736"/>
        <c:axId val="273707392"/>
      </c:scatterChart>
      <c:valAx>
        <c:axId val="273700736"/>
        <c:scaling>
          <c:orientation val="minMax"/>
          <c:min val="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707392"/>
        <c:crosses val="autoZero"/>
        <c:crossBetween val="midCat"/>
      </c:valAx>
      <c:valAx>
        <c:axId val="273707392"/>
        <c:scaling>
          <c:orientation val="minMax"/>
          <c:max val="10992.877069432117"/>
          <c:min val="0"/>
        </c:scaling>
        <c:delete val="0"/>
        <c:axPos val="l"/>
        <c:majorGridlines/>
        <c:title>
          <c:tx>
            <c:rich>
              <a:bodyPr rot="-5400000" vert="horz"/>
              <a:lstStyle/>
              <a:p>
                <a:pPr>
                  <a:defRPr sz="1200"/>
                </a:pPr>
                <a:r>
                  <a:rPr lang="en-US" sz="1200"/>
                  <a:t>Inverse Lifetime - Correction Term (s-1)</a:t>
                </a:r>
              </a:p>
            </c:rich>
          </c:tx>
          <c:layout/>
          <c:overlay val="0"/>
        </c:title>
        <c:numFmt formatCode="0" sourceLinked="0"/>
        <c:majorTickMark val="out"/>
        <c:minorTickMark val="none"/>
        <c:tickLblPos val="nextTo"/>
        <c:spPr>
          <a:ln>
            <a:solidFill>
              <a:schemeClr val="tx1"/>
            </a:solidFill>
          </a:ln>
        </c:spPr>
        <c:txPr>
          <a:bodyPr/>
          <a:lstStyle/>
          <a:p>
            <a:pPr>
              <a:defRPr b="1"/>
            </a:pPr>
            <a:endParaRPr lang="en-US"/>
          </a:p>
        </c:txPr>
        <c:crossAx val="27370073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Implied V</a:t>
            </a:r>
            <a:r>
              <a:rPr lang="en-US" baseline="-25000"/>
              <a:t>oc</a:t>
            </a:r>
          </a:p>
        </c:rich>
      </c:tx>
      <c:layout/>
      <c:overlay val="0"/>
    </c:title>
    <c:autoTitleDeleted val="0"/>
    <c:plotArea>
      <c:layout>
        <c:manualLayout>
          <c:layoutTarget val="inner"/>
          <c:xMode val="edge"/>
          <c:yMode val="edge"/>
          <c:x val="0.14277989739770244"/>
          <c:y val="0.11914712828758829"/>
          <c:w val="0.78211048011508755"/>
          <c:h val="0.74692073241282175"/>
        </c:manualLayout>
      </c:layout>
      <c:scatterChart>
        <c:scatterStyle val="lineMarker"/>
        <c:varyColors val="0"/>
        <c:ser>
          <c:idx val="0"/>
          <c:order val="0"/>
          <c:tx>
            <c:v>Implied Voc</c:v>
          </c:tx>
          <c:spPr>
            <a:ln w="28575">
              <a:noFill/>
            </a:ln>
          </c:spPr>
          <c:marker>
            <c:symbol val="diamond"/>
            <c:size val="4"/>
            <c:spPr>
              <a:solidFill>
                <a:srgbClr val="2004EC"/>
              </a:solidFill>
              <a:ln>
                <a:solidFill>
                  <a:srgbClr val="2004EC"/>
                </a:solidFill>
              </a:ln>
            </c:spPr>
          </c:marker>
          <c:xVal>
            <c:numRef>
              <c:f>Calc!$X$15:$X$130</c:f>
              <c:numCache>
                <c:formatCode>0.0000</c:formatCode>
                <c:ptCount val="116"/>
                <c:pt idx="0">
                  <c:v>0.70530152780345312</c:v>
                </c:pt>
                <c:pt idx="1">
                  <c:v>0.70336994076103387</c:v>
                </c:pt>
                <c:pt idx="2">
                  <c:v>0.70137894146629209</c:v>
                </c:pt>
                <c:pt idx="3">
                  <c:v>0.69934742084653756</c:v>
                </c:pt>
                <c:pt idx="4">
                  <c:v>0.69731311746605329</c:v>
                </c:pt>
                <c:pt idx="5">
                  <c:v>0.6952780973623075</c:v>
                </c:pt>
                <c:pt idx="6">
                  <c:v>0.69325026910031373</c:v>
                </c:pt>
                <c:pt idx="7">
                  <c:v>0.69124160115478561</c:v>
                </c:pt>
                <c:pt idx="8">
                  <c:v>0.68924267629173663</c:v>
                </c:pt>
                <c:pt idx="9">
                  <c:v>0.68726111757772479</c:v>
                </c:pt>
                <c:pt idx="10">
                  <c:v>0.68528784751783256</c:v>
                </c:pt>
                <c:pt idx="11">
                  <c:v>0.68332326993305692</c:v>
                </c:pt>
                <c:pt idx="12">
                  <c:v>0.68138470263811135</c:v>
                </c:pt>
                <c:pt idx="13">
                  <c:v>0.67945893510604771</c:v>
                </c:pt>
                <c:pt idx="14">
                  <c:v>0.67756099161676997</c:v>
                </c:pt>
                <c:pt idx="15">
                  <c:v>0.67568255288614687</c:v>
                </c:pt>
                <c:pt idx="16">
                  <c:v>0.67380803979692983</c:v>
                </c:pt>
                <c:pt idx="17">
                  <c:v>0.67195090190407991</c:v>
                </c:pt>
                <c:pt idx="18">
                  <c:v>0.67011211329508569</c:v>
                </c:pt>
                <c:pt idx="19">
                  <c:v>0.66829875997027111</c:v>
                </c:pt>
                <c:pt idx="20">
                  <c:v>0.66649619439574359</c:v>
                </c:pt>
                <c:pt idx="21">
                  <c:v>0.66469988154137105</c:v>
                </c:pt>
                <c:pt idx="22">
                  <c:v>0.66292736858521273</c:v>
                </c:pt>
                <c:pt idx="23">
                  <c:v>0.66117438681038265</c:v>
                </c:pt>
                <c:pt idx="24">
                  <c:v>0.65942707058872008</c:v>
                </c:pt>
                <c:pt idx="25">
                  <c:v>0.65767909892450904</c:v>
                </c:pt>
                <c:pt idx="26">
                  <c:v>0.65595372688736586</c:v>
                </c:pt>
                <c:pt idx="27">
                  <c:v>0.65424541910145706</c:v>
                </c:pt>
                <c:pt idx="28">
                  <c:v>0.6525528024783771</c:v>
                </c:pt>
                <c:pt idx="29">
                  <c:v>0.65084694013058375</c:v>
                </c:pt>
                <c:pt idx="30">
                  <c:v>0.64918721805320789</c:v>
                </c:pt>
                <c:pt idx="31">
                  <c:v>0.64750348174611971</c:v>
                </c:pt>
                <c:pt idx="32">
                  <c:v>0.64586052413117823</c:v>
                </c:pt>
                <c:pt idx="33">
                  <c:v>0.64421469015277499</c:v>
                </c:pt>
                <c:pt idx="34">
                  <c:v>0.6425524455117898</c:v>
                </c:pt>
                <c:pt idx="35">
                  <c:v>0.64092546151098728</c:v>
                </c:pt>
                <c:pt idx="36">
                  <c:v>0.63928397623559774</c:v>
                </c:pt>
                <c:pt idx="37">
                  <c:v>0.63765822102321223</c:v>
                </c:pt>
                <c:pt idx="38">
                  <c:v>0.63606298180381549</c:v>
                </c:pt>
                <c:pt idx="39">
                  <c:v>0.63445185795986869</c:v>
                </c:pt>
                <c:pt idx="40">
                  <c:v>0.63286480532218192</c:v>
                </c:pt>
                <c:pt idx="41">
                  <c:v>0.63125466893763404</c:v>
                </c:pt>
                <c:pt idx="42">
                  <c:v>0.62967156714750327</c:v>
                </c:pt>
                <c:pt idx="43">
                  <c:v>0.6280906882623849</c:v>
                </c:pt>
                <c:pt idx="44">
                  <c:v>0.62653000288209904</c:v>
                </c:pt>
                <c:pt idx="45">
                  <c:v>0.62492566609192857</c:v>
                </c:pt>
                <c:pt idx="46">
                  <c:v>0.62336143854597148</c:v>
                </c:pt>
                <c:pt idx="47">
                  <c:v>0.62181841739310928</c:v>
                </c:pt>
                <c:pt idx="48">
                  <c:v>0.62025176408934179</c:v>
                </c:pt>
                <c:pt idx="49">
                  <c:v>0.61868419270928499</c:v>
                </c:pt>
                <c:pt idx="50">
                  <c:v>0.61708768310119377</c:v>
                </c:pt>
                <c:pt idx="51">
                  <c:v>0.61554489080001384</c:v>
                </c:pt>
                <c:pt idx="52">
                  <c:v>0.61394794767680716</c:v>
                </c:pt>
                <c:pt idx="53">
                  <c:v>0.6123795884685197</c:v>
                </c:pt>
                <c:pt idx="54">
                  <c:v>0.61083862653100152</c:v>
                </c:pt>
                <c:pt idx="55">
                  <c:v>0.60922944677503121</c:v>
                </c:pt>
                <c:pt idx="56">
                  <c:v>0.60769625747086853</c:v>
                </c:pt>
                <c:pt idx="57">
                  <c:v>0.60613636995795139</c:v>
                </c:pt>
                <c:pt idx="58">
                  <c:v>0.60455910088659326</c:v>
                </c:pt>
                <c:pt idx="59">
                  <c:v>0.60299307628746024</c:v>
                </c:pt>
                <c:pt idx="60">
                  <c:v>0.60144549472845532</c:v>
                </c:pt>
                <c:pt idx="61">
                  <c:v>0.59987598074506665</c:v>
                </c:pt>
                <c:pt idx="62">
                  <c:v>0.59831756365961875</c:v>
                </c:pt>
                <c:pt idx="63">
                  <c:v>0.59675974953765532</c:v>
                </c:pt>
                <c:pt idx="64">
                  <c:v>0.59520704281464842</c:v>
                </c:pt>
                <c:pt idx="65">
                  <c:v>0.59363727197524818</c:v>
                </c:pt>
                <c:pt idx="66">
                  <c:v>0.59205759286185478</c:v>
                </c:pt>
                <c:pt idx="67">
                  <c:v>0.59052633966714008</c:v>
                </c:pt>
                <c:pt idx="68">
                  <c:v>0.58895561940908803</c:v>
                </c:pt>
                <c:pt idx="69">
                  <c:v>0.58733935353177635</c:v>
                </c:pt>
                <c:pt idx="70">
                  <c:v>0.58580625249519458</c:v>
                </c:pt>
                <c:pt idx="71">
                  <c:v>0.58419070662778227</c:v>
                </c:pt>
                <c:pt idx="72">
                  <c:v>0.58263375415853114</c:v>
                </c:pt>
                <c:pt idx="73">
                  <c:v>0.58102314126138288</c:v>
                </c:pt>
                <c:pt idx="74">
                  <c:v>0.57937739344696393</c:v>
                </c:pt>
                <c:pt idx="75">
                  <c:v>0.57779868514935206</c:v>
                </c:pt>
                <c:pt idx="76">
                  <c:v>0.57624237894500518</c:v>
                </c:pt>
                <c:pt idx="77">
                  <c:v>0.5746038497825714</c:v>
                </c:pt>
                <c:pt idx="78">
                  <c:v>0.57303220503498165</c:v>
                </c:pt>
                <c:pt idx="79">
                  <c:v>0.57131872471955114</c:v>
                </c:pt>
                <c:pt idx="80">
                  <c:v>0.56975957104871877</c:v>
                </c:pt>
                <c:pt idx="81">
                  <c:v>0.56810292013515873</c:v>
                </c:pt>
                <c:pt idx="82">
                  <c:v>0.56642942438428812</c:v>
                </c:pt>
                <c:pt idx="83">
                  <c:v>0.56484059119335694</c:v>
                </c:pt>
                <c:pt idx="84">
                  <c:v>0.56320449371506487</c:v>
                </c:pt>
                <c:pt idx="85">
                  <c:v>0.5615506549564</c:v>
                </c:pt>
                <c:pt idx="86">
                  <c:v>0.55993215772368254</c:v>
                </c:pt>
                <c:pt idx="87">
                  <c:v>0.55829924212077353</c:v>
                </c:pt>
                <c:pt idx="88">
                  <c:v>0.55655089768775456</c:v>
                </c:pt>
                <c:pt idx="89">
                  <c:v>0.5549183538317547</c:v>
                </c:pt>
                <c:pt idx="90">
                  <c:v>0.55332939300344897</c:v>
                </c:pt>
                <c:pt idx="91">
                  <c:v>0.55159989637130236</c:v>
                </c:pt>
                <c:pt idx="92">
                  <c:v>0.55004204534844203</c:v>
                </c:pt>
                <c:pt idx="93">
                  <c:v>0.54834918242719177</c:v>
                </c:pt>
                <c:pt idx="94">
                  <c:v>0.54671084976408735</c:v>
                </c:pt>
                <c:pt idx="95">
                  <c:v>0.54511816170931759</c:v>
                </c:pt>
                <c:pt idx="96">
                  <c:v>0.54339831676049999</c:v>
                </c:pt>
                <c:pt idx="97">
                  <c:v>0.54180315445709948</c:v>
                </c:pt>
                <c:pt idx="98">
                  <c:v>0.54027542470421253</c:v>
                </c:pt>
                <c:pt idx="99">
                  <c:v>0.53872520745883068</c:v>
                </c:pt>
                <c:pt idx="100">
                  <c:v>0.53720715924507867</c:v>
                </c:pt>
                <c:pt idx="101">
                  <c:v>0.53558779863723238</c:v>
                </c:pt>
                <c:pt idx="102">
                  <c:v>0.53400583697893778</c:v>
                </c:pt>
                <c:pt idx="103">
                  <c:v>0.53261320113766586</c:v>
                </c:pt>
                <c:pt idx="104">
                  <c:v>0.53101920694952776</c:v>
                </c:pt>
                <c:pt idx="105">
                  <c:v>0.52954486056834404</c:v>
                </c:pt>
                <c:pt idx="106">
                  <c:v>0.52803426996124847</c:v>
                </c:pt>
                <c:pt idx="107">
                  <c:v>0.52686120840503103</c:v>
                </c:pt>
                <c:pt idx="108">
                  <c:v>0.52549460050088725</c:v>
                </c:pt>
                <c:pt idx="109">
                  <c:v>0.52390909965446109</c:v>
                </c:pt>
                <c:pt idx="110">
                  <c:v>0.52274411592788428</c:v>
                </c:pt>
                <c:pt idx="111">
                  <c:v>0.52145310783113952</c:v>
                </c:pt>
                <c:pt idx="112">
                  <c:v>0.52013055824522392</c:v>
                </c:pt>
                <c:pt idx="113">
                  <c:v>0.51876053983817239</c:v>
                </c:pt>
                <c:pt idx="114">
                  <c:v>0.51781132617598413</c:v>
                </c:pt>
                <c:pt idx="115">
                  <c:v>0.51647469119119538</c:v>
                </c:pt>
              </c:numCache>
            </c:numRef>
          </c:xVal>
          <c:yVal>
            <c:numRef>
              <c:f>Calc!$Y$15:$Y$130</c:f>
              <c:numCache>
                <c:formatCode>0.00</c:formatCode>
                <c:ptCount val="116"/>
                <c:pt idx="0">
                  <c:v>40.682585125613791</c:v>
                </c:pt>
                <c:pt idx="1">
                  <c:v>38.061104809250928</c:v>
                </c:pt>
                <c:pt idx="2">
                  <c:v>35.517961338335965</c:v>
                </c:pt>
                <c:pt idx="3">
                  <c:v>33.065006908378798</c:v>
                </c:pt>
                <c:pt idx="4">
                  <c:v>30.80252169866527</c:v>
                </c:pt>
                <c:pt idx="5">
                  <c:v>28.712587952085897</c:v>
                </c:pt>
                <c:pt idx="6">
                  <c:v>26.714481854597889</c:v>
                </c:pt>
                <c:pt idx="7">
                  <c:v>24.952977853027182</c:v>
                </c:pt>
                <c:pt idx="8">
                  <c:v>23.252283838529983</c:v>
                </c:pt>
                <c:pt idx="9">
                  <c:v>21.660705307346404</c:v>
                </c:pt>
                <c:pt idx="10">
                  <c:v>20.257848916628266</c:v>
                </c:pt>
                <c:pt idx="11">
                  <c:v>18.890019297686337</c:v>
                </c:pt>
                <c:pt idx="12">
                  <c:v>17.654798529453487</c:v>
                </c:pt>
                <c:pt idx="13">
                  <c:v>16.512506884573945</c:v>
                </c:pt>
                <c:pt idx="14">
                  <c:v>15.408229714495468</c:v>
                </c:pt>
                <c:pt idx="15">
                  <c:v>14.470716722871414</c:v>
                </c:pt>
                <c:pt idx="16">
                  <c:v>13.533914774085279</c:v>
                </c:pt>
                <c:pt idx="17">
                  <c:v>12.649885156736129</c:v>
                </c:pt>
                <c:pt idx="18">
                  <c:v>11.905845298309432</c:v>
                </c:pt>
                <c:pt idx="19">
                  <c:v>11.132243096429129</c:v>
                </c:pt>
                <c:pt idx="20">
                  <c:v>10.452965615262581</c:v>
                </c:pt>
                <c:pt idx="21">
                  <c:v>9.8259446869071354</c:v>
                </c:pt>
                <c:pt idx="22">
                  <c:v>9.1904022674708266</c:v>
                </c:pt>
                <c:pt idx="23">
                  <c:v>8.6874821391845387</c:v>
                </c:pt>
                <c:pt idx="24">
                  <c:v>8.1545058881122046</c:v>
                </c:pt>
                <c:pt idx="25">
                  <c:v>7.6364869303833816</c:v>
                </c:pt>
                <c:pt idx="26">
                  <c:v>7.2352365718806757</c:v>
                </c:pt>
                <c:pt idx="27">
                  <c:v>6.7836278376570665</c:v>
                </c:pt>
                <c:pt idx="28">
                  <c:v>6.3901902557067727</c:v>
                </c:pt>
                <c:pt idx="29">
                  <c:v>6.0440853363611238</c:v>
                </c:pt>
                <c:pt idx="30">
                  <c:v>5.6496112510495502</c:v>
                </c:pt>
                <c:pt idx="31">
                  <c:v>5.3793831079196641</c:v>
                </c:pt>
                <c:pt idx="32">
                  <c:v>5.056850756795086</c:v>
                </c:pt>
                <c:pt idx="33">
                  <c:v>4.7420234172243791</c:v>
                </c:pt>
                <c:pt idx="34">
                  <c:v>4.5188154922868833</c:v>
                </c:pt>
                <c:pt idx="35">
                  <c:v>4.2427139995729108</c:v>
                </c:pt>
                <c:pt idx="36">
                  <c:v>4.0287007727874968</c:v>
                </c:pt>
                <c:pt idx="37">
                  <c:v>3.8290681414889089</c:v>
                </c:pt>
                <c:pt idx="38">
                  <c:v>3.5884133407440961</c:v>
                </c:pt>
                <c:pt idx="39">
                  <c:v>3.4398169667288969</c:v>
                </c:pt>
                <c:pt idx="40">
                  <c:v>3.250090414160824</c:v>
                </c:pt>
                <c:pt idx="41">
                  <c:v>3.0286168480625677</c:v>
                </c:pt>
                <c:pt idx="42">
                  <c:v>2.9120460281677603</c:v>
                </c:pt>
                <c:pt idx="43">
                  <c:v>2.7367384666026182</c:v>
                </c:pt>
                <c:pt idx="44">
                  <c:v>2.5658346167413817</c:v>
                </c:pt>
                <c:pt idx="45">
                  <c:v>2.4689673646430794</c:v>
                </c:pt>
                <c:pt idx="46">
                  <c:v>2.3050139171091684</c:v>
                </c:pt>
                <c:pt idx="47">
                  <c:v>2.2239638066070193</c:v>
                </c:pt>
                <c:pt idx="48">
                  <c:v>2.1128920995293221</c:v>
                </c:pt>
                <c:pt idx="49">
                  <c:v>1.9714547767040036</c:v>
                </c:pt>
                <c:pt idx="50">
                  <c:v>1.9222959015708134</c:v>
                </c:pt>
                <c:pt idx="51">
                  <c:v>1.8061987883179582</c:v>
                </c:pt>
                <c:pt idx="52">
                  <c:v>1.6841150663331379</c:v>
                </c:pt>
                <c:pt idx="53">
                  <c:v>1.6421407278679201</c:v>
                </c:pt>
                <c:pt idx="54">
                  <c:v>1.5238908521744139</c:v>
                </c:pt>
                <c:pt idx="55">
                  <c:v>1.4585630606422988</c:v>
                </c:pt>
                <c:pt idx="56">
                  <c:v>1.3960541978073346</c:v>
                </c:pt>
                <c:pt idx="57">
                  <c:v>1.2863945389352982</c:v>
                </c:pt>
                <c:pt idx="58">
                  <c:v>1.2774360703023944</c:v>
                </c:pt>
                <c:pt idx="59">
                  <c:v>1.1959716366483613</c:v>
                </c:pt>
                <c:pt idx="60">
                  <c:v>1.1093193904657936</c:v>
                </c:pt>
                <c:pt idx="61">
                  <c:v>1.1126445119054844</c:v>
                </c:pt>
                <c:pt idx="62">
                  <c:v>1.0379422960440563</c:v>
                </c:pt>
                <c:pt idx="63">
                  <c:v>0.96909975146883764</c:v>
                </c:pt>
                <c:pt idx="64">
                  <c:v>0.9533616121432632</c:v>
                </c:pt>
                <c:pt idx="65">
                  <c:v>0.87376264837254891</c:v>
                </c:pt>
                <c:pt idx="66">
                  <c:v>0.86113072477306285</c:v>
                </c:pt>
                <c:pt idx="67">
                  <c:v>0.82132819111438871</c:v>
                </c:pt>
                <c:pt idx="68">
                  <c:v>0.74643535947479833</c:v>
                </c:pt>
                <c:pt idx="69">
                  <c:v>0.76129618749085448</c:v>
                </c:pt>
                <c:pt idx="70">
                  <c:v>0.71033847552985641</c:v>
                </c:pt>
                <c:pt idx="71">
                  <c:v>0.65521687325136202</c:v>
                </c:pt>
                <c:pt idx="72">
                  <c:v>0.66644689200207385</c:v>
                </c:pt>
                <c:pt idx="73">
                  <c:v>0.58471455137051564</c:v>
                </c:pt>
                <c:pt idx="74">
                  <c:v>0.6125816317943481</c:v>
                </c:pt>
                <c:pt idx="75">
                  <c:v>0.57861835504886538</c:v>
                </c:pt>
                <c:pt idx="76">
                  <c:v>0.51562884706328671</c:v>
                </c:pt>
                <c:pt idx="77">
                  <c:v>0.54732177398731519</c:v>
                </c:pt>
                <c:pt idx="78">
                  <c:v>0.5011544900686985</c:v>
                </c:pt>
                <c:pt idx="79">
                  <c:v>0.45933790075582176</c:v>
                </c:pt>
                <c:pt idx="80">
                  <c:v>0.48700644376907604</c:v>
                </c:pt>
                <c:pt idx="81">
                  <c:v>0.42530843812818941</c:v>
                </c:pt>
                <c:pt idx="82">
                  <c:v>0.43707444952208874</c:v>
                </c:pt>
                <c:pt idx="83">
                  <c:v>0.4314378491816242</c:v>
                </c:pt>
                <c:pt idx="84">
                  <c:v>0.34873882955174995</c:v>
                </c:pt>
                <c:pt idx="85">
                  <c:v>0.41453047415011202</c:v>
                </c:pt>
                <c:pt idx="86">
                  <c:v>0.38598459995155293</c:v>
                </c:pt>
                <c:pt idx="87">
                  <c:v>0.33657088066919488</c:v>
                </c:pt>
                <c:pt idx="88">
                  <c:v>0.37584254815934559</c:v>
                </c:pt>
                <c:pt idx="89">
                  <c:v>0.31812798939191966</c:v>
                </c:pt>
                <c:pt idx="90">
                  <c:v>0.34384202533532865</c:v>
                </c:pt>
                <c:pt idx="91">
                  <c:v>0.32468102650206804</c:v>
                </c:pt>
                <c:pt idx="92">
                  <c:v>0.26681779072818795</c:v>
                </c:pt>
                <c:pt idx="93">
                  <c:v>0.31096518236791804</c:v>
                </c:pt>
                <c:pt idx="94">
                  <c:v>0.27962152215456437</c:v>
                </c:pt>
                <c:pt idx="95">
                  <c:v>0.25387754289497572</c:v>
                </c:pt>
                <c:pt idx="96">
                  <c:v>0.280689608472805</c:v>
                </c:pt>
                <c:pt idx="97">
                  <c:v>0.22592137778137866</c:v>
                </c:pt>
                <c:pt idx="98">
                  <c:v>0.25292261324024501</c:v>
                </c:pt>
                <c:pt idx="99">
                  <c:v>0.25310972317198849</c:v>
                </c:pt>
                <c:pt idx="100">
                  <c:v>0.20189814627101876</c:v>
                </c:pt>
                <c:pt idx="101">
                  <c:v>0.25134155885273007</c:v>
                </c:pt>
                <c:pt idx="102">
                  <c:v>0.22835393730752082</c:v>
                </c:pt>
                <c:pt idx="103">
                  <c:v>0.18794281173718058</c:v>
                </c:pt>
                <c:pt idx="104">
                  <c:v>0.23417989880815573</c:v>
                </c:pt>
                <c:pt idx="105">
                  <c:v>0.18910494036271797</c:v>
                </c:pt>
                <c:pt idx="106">
                  <c:v>0.21364898124801476</c:v>
                </c:pt>
                <c:pt idx="107">
                  <c:v>0.2125564117952152</c:v>
                </c:pt>
                <c:pt idx="108">
                  <c:v>0.16241285623592486</c:v>
                </c:pt>
                <c:pt idx="109">
                  <c:v>0.21744934442622829</c:v>
                </c:pt>
                <c:pt idx="110">
                  <c:v>0.1893631649776327</c:v>
                </c:pt>
                <c:pt idx="111">
                  <c:v>0.17246267631535328</c:v>
                </c:pt>
                <c:pt idx="112">
                  <c:v>0.20426489570062575</c:v>
                </c:pt>
                <c:pt idx="113">
                  <c:v>0.16091461665587276</c:v>
                </c:pt>
                <c:pt idx="114">
                  <c:v>0.1914551877639187</c:v>
                </c:pt>
                <c:pt idx="115">
                  <c:v>0.18563915760194655</c:v>
                </c:pt>
              </c:numCache>
            </c:numRef>
          </c:yVal>
          <c:smooth val="0"/>
        </c:ser>
        <c:dLbls>
          <c:showLegendKey val="0"/>
          <c:showVal val="0"/>
          <c:showCatName val="0"/>
          <c:showSerName val="0"/>
          <c:showPercent val="0"/>
          <c:showBubbleSize val="0"/>
        </c:dLbls>
        <c:axId val="273768832"/>
        <c:axId val="273771136"/>
      </c:scatterChart>
      <c:valAx>
        <c:axId val="273768832"/>
        <c:scaling>
          <c:orientation val="minMax"/>
          <c:min val="0.4"/>
        </c:scaling>
        <c:delete val="0"/>
        <c:axPos val="b"/>
        <c:majorGridlines/>
        <c:title>
          <c:tx>
            <c:rich>
              <a:bodyPr/>
              <a:lstStyle/>
              <a:p>
                <a:pPr>
                  <a:defRPr sz="1200"/>
                </a:pPr>
                <a:r>
                  <a:rPr lang="en-US" sz="1200"/>
                  <a:t>Implied Open Circuit Voltage (V)</a:t>
                </a:r>
              </a:p>
            </c:rich>
          </c:tx>
          <c:layout/>
          <c:overlay val="0"/>
        </c:title>
        <c:numFmt formatCode="0.0000" sourceLinked="1"/>
        <c:majorTickMark val="out"/>
        <c:minorTickMark val="none"/>
        <c:tickLblPos val="low"/>
        <c:txPr>
          <a:bodyPr/>
          <a:lstStyle/>
          <a:p>
            <a:pPr>
              <a:defRPr b="1"/>
            </a:pPr>
            <a:endParaRPr lang="en-US"/>
          </a:p>
        </c:txPr>
        <c:crossAx val="273771136"/>
        <c:crosses val="autoZero"/>
        <c:crossBetween val="midCat"/>
      </c:valAx>
      <c:valAx>
        <c:axId val="273771136"/>
        <c:scaling>
          <c:logBase val="10"/>
          <c:orientation val="minMax"/>
          <c:min val="1.0000000000000005E-2"/>
        </c:scaling>
        <c:delete val="0"/>
        <c:axPos val="l"/>
        <c:majorGridlines/>
        <c:minorGridlines>
          <c:spPr>
            <a:ln>
              <a:solidFill>
                <a:sysClr val="windowText" lastClr="000000">
                  <a:alpha val="14000"/>
                </a:sysClr>
              </a:solidFill>
            </a:ln>
          </c:spPr>
        </c:minorGridlines>
        <c:title>
          <c:tx>
            <c:rich>
              <a:bodyPr rot="-5400000" vert="horz"/>
              <a:lstStyle/>
              <a:p>
                <a:pPr>
                  <a:defRPr sz="1200"/>
                </a:pPr>
                <a:r>
                  <a:rPr lang="en-US" sz="1200"/>
                  <a:t>Illumination (suns)</a:t>
                </a:r>
              </a:p>
            </c:rich>
          </c:tx>
          <c:layout>
            <c:manualLayout>
              <c:xMode val="edge"/>
              <c:yMode val="edge"/>
              <c:x val="1.8071371958637901E-2"/>
              <c:y val="0.32461372998119942"/>
            </c:manualLayout>
          </c:layout>
          <c:overlay val="0"/>
        </c:title>
        <c:numFmt formatCode="0.00" sourceLinked="0"/>
        <c:majorTickMark val="out"/>
        <c:minorTickMark val="none"/>
        <c:tickLblPos val="nextTo"/>
        <c:spPr>
          <a:ln>
            <a:solidFill>
              <a:schemeClr val="tx1"/>
            </a:solidFill>
          </a:ln>
        </c:spPr>
        <c:txPr>
          <a:bodyPr/>
          <a:lstStyle/>
          <a:p>
            <a:pPr>
              <a:defRPr b="1"/>
            </a:pPr>
            <a:endParaRPr lang="en-US"/>
          </a:p>
        </c:txPr>
        <c:crossAx val="273768832"/>
        <c:crosses val="autoZero"/>
        <c:crossBetween val="midCat"/>
      </c:valAx>
      <c:spPr>
        <a:ln>
          <a:solidFill>
            <a:sysClr val="windowText" lastClr="000000"/>
          </a:solidFill>
        </a:ln>
      </c:spPr>
    </c:plotArea>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Minority Carrier Lifetime (no Auger Correction)  vs Minority Carrier Density</a:t>
            </a:r>
          </a:p>
        </c:rich>
      </c:tx>
      <c:layout/>
      <c:overlay val="0"/>
    </c:title>
    <c:autoTitleDeleted val="0"/>
    <c:plotArea>
      <c:layout>
        <c:manualLayout>
          <c:layoutTarget val="inner"/>
          <c:xMode val="edge"/>
          <c:yMode val="edge"/>
          <c:x val="0.20028010770872823"/>
          <c:y val="0.15809193315655617"/>
          <c:w val="0.6849045629151016"/>
          <c:h val="0.70089497782069665"/>
        </c:manualLayout>
      </c:layout>
      <c:scatterChart>
        <c:scatterStyle val="lineMarker"/>
        <c:varyColors val="0"/>
        <c:ser>
          <c:idx val="0"/>
          <c:order val="0"/>
          <c:tx>
            <c:v>Minority Carrier Density</c:v>
          </c:tx>
          <c:spPr>
            <a:ln w="28575">
              <a:noFill/>
            </a:ln>
          </c:spPr>
          <c:marker>
            <c:symbol val="square"/>
            <c:size val="6"/>
            <c:spPr>
              <a:solidFill>
                <a:srgbClr val="FF0000"/>
              </a:solidFill>
              <a:ln>
                <a:noFill/>
              </a:ln>
            </c:spPr>
          </c:marker>
          <c:xVal>
            <c:numRef>
              <c:f>Calc!$O$12:$O$131</c:f>
              <c:numCache>
                <c:formatCode>0.00E+00</c:formatCode>
                <c:ptCount val="120"/>
                <c:pt idx="0">
                  <c:v>8280128858683653</c:v>
                </c:pt>
                <c:pt idx="1">
                  <c:v>8318371307832016</c:v>
                </c:pt>
                <c:pt idx="2">
                  <c:v>8100663770522564</c:v>
                </c:pt>
                <c:pt idx="3">
                  <c:v>7819653846977320</c:v>
                </c:pt>
                <c:pt idx="4">
                  <c:v>7529106303172681</c:v>
                </c:pt>
                <c:pt idx="5">
                  <c:v>7240838114708719</c:v>
                </c:pt>
                <c:pt idx="6">
                  <c:v>6957994349400993</c:v>
                </c:pt>
                <c:pt idx="7">
                  <c:v>6685751356152515</c:v>
                </c:pt>
                <c:pt idx="8">
                  <c:v>6423987082665524</c:v>
                </c:pt>
                <c:pt idx="9">
                  <c:v>6173260391428934</c:v>
                </c:pt>
                <c:pt idx="10">
                  <c:v>5934470342486079</c:v>
                </c:pt>
                <c:pt idx="11">
                  <c:v>5705928596947935</c:v>
                </c:pt>
                <c:pt idx="12">
                  <c:v>5487981409533569</c:v>
                </c:pt>
                <c:pt idx="13">
                  <c:v>5279140938784232</c:v>
                </c:pt>
                <c:pt idx="14">
                  <c:v>5079038322726614</c:v>
                </c:pt>
                <c:pt idx="15">
                  <c:v>4888945383497467</c:v>
                </c:pt>
                <c:pt idx="16">
                  <c:v>4707078034554299</c:v>
                </c:pt>
                <c:pt idx="17">
                  <c:v>4534386484947477</c:v>
                </c:pt>
                <c:pt idx="18">
                  <c:v>4369637826078056</c:v>
                </c:pt>
                <c:pt idx="19">
                  <c:v>4211130389768981</c:v>
                </c:pt>
                <c:pt idx="20">
                  <c:v>4059693690977409</c:v>
                </c:pt>
                <c:pt idx="21">
                  <c:v>3915051365799600.5</c:v>
                </c:pt>
                <c:pt idx="22">
                  <c:v>3777391503419801.5</c:v>
                </c:pt>
                <c:pt idx="23">
                  <c:v>3645283068023184</c:v>
                </c:pt>
                <c:pt idx="24">
                  <c:v>3518164805781539.5</c:v>
                </c:pt>
                <c:pt idx="25">
                  <c:v>3397013458479484</c:v>
                </c:pt>
                <c:pt idx="26">
                  <c:v>3281239170397494.5</c:v>
                </c:pt>
                <c:pt idx="27">
                  <c:v>3169704805721946</c:v>
                </c:pt>
                <c:pt idx="28">
                  <c:v>3061861028118759.5</c:v>
                </c:pt>
                <c:pt idx="29">
                  <c:v>2958950718217559</c:v>
                </c:pt>
                <c:pt idx="30">
                  <c:v>2860407854364167.5</c:v>
                </c:pt>
                <c:pt idx="31">
                  <c:v>2765949848676798.5</c:v>
                </c:pt>
                <c:pt idx="32">
                  <c:v>2673850634950063.5</c:v>
                </c:pt>
                <c:pt idx="33">
                  <c:v>2587131206289060</c:v>
                </c:pt>
                <c:pt idx="34">
                  <c:v>2501974474969103.5</c:v>
                </c:pt>
                <c:pt idx="35">
                  <c:v>2421528536526037</c:v>
                </c:pt>
                <c:pt idx="36">
                  <c:v>2343481311620845.5</c:v>
                </c:pt>
                <c:pt idx="37">
                  <c:v>2267154283863490</c:v>
                </c:pt>
                <c:pt idx="38">
                  <c:v>2194801256365321</c:v>
                </c:pt>
                <c:pt idx="39">
                  <c:v>2124089956570445.5</c:v>
                </c:pt>
                <c:pt idx="40">
                  <c:v>2056249407246207.2</c:v>
                </c:pt>
                <c:pt idx="41">
                  <c:v>1991737917425052.2</c:v>
                </c:pt>
                <c:pt idx="42">
                  <c:v>1928587019507919.5</c:v>
                </c:pt>
                <c:pt idx="43">
                  <c:v>1868287424157004</c:v>
                </c:pt>
                <c:pt idx="44">
                  <c:v>1808986327497433.5</c:v>
                </c:pt>
                <c:pt idx="45">
                  <c:v>1752466504942248.3</c:v>
                </c:pt>
                <c:pt idx="46">
                  <c:v>1697738957393044.5</c:v>
                </c:pt>
                <c:pt idx="47">
                  <c:v>1645338890713628</c:v>
                </c:pt>
                <c:pt idx="48">
                  <c:v>1593108604489832</c:v>
                </c:pt>
                <c:pt idx="49">
                  <c:v>1543732199206721.2</c:v>
                </c:pt>
                <c:pt idx="50">
                  <c:v>1496477716623886.7</c:v>
                </c:pt>
                <c:pt idx="51">
                  <c:v>1449931398779417.8</c:v>
                </c:pt>
                <c:pt idx="52">
                  <c:v>1404758742900291.5</c:v>
                </c:pt>
                <c:pt idx="53">
                  <c:v>1360149093226980.5</c:v>
                </c:pt>
                <c:pt idx="54">
                  <c:v>1318339533162401.5</c:v>
                </c:pt>
                <c:pt idx="55">
                  <c:v>1276366761606454.7</c:v>
                </c:pt>
                <c:pt idx="56">
                  <c:v>1236397842097094.7</c:v>
                </c:pt>
                <c:pt idx="57">
                  <c:v>1198299764662150</c:v>
                </c:pt>
                <c:pt idx="58">
                  <c:v>1159718392552213</c:v>
                </c:pt>
                <c:pt idx="59">
                  <c:v>1124068435231203.9</c:v>
                </c:pt>
                <c:pt idx="60">
                  <c:v>1088875466666235.9</c:v>
                </c:pt>
                <c:pt idx="61">
                  <c:v>1054362756301558.5</c:v>
                </c:pt>
                <c:pt idx="62">
                  <c:v>1021130950439912.6</c:v>
                </c:pt>
                <c:pt idx="63">
                  <c:v>989273239742595.87</c:v>
                </c:pt>
                <c:pt idx="64">
                  <c:v>957932029709215.12</c:v>
                </c:pt>
                <c:pt idx="65">
                  <c:v>927748163589670.12</c:v>
                </c:pt>
                <c:pt idx="66">
                  <c:v>898480048585541.12</c:v>
                </c:pt>
                <c:pt idx="67">
                  <c:v>870180597539535.87</c:v>
                </c:pt>
                <c:pt idx="68">
                  <c:v>842429428213472.37</c:v>
                </c:pt>
                <c:pt idx="69">
                  <c:v>815349169601617.62</c:v>
                </c:pt>
                <c:pt idx="70">
                  <c:v>789885038373114.25</c:v>
                </c:pt>
                <c:pt idx="71">
                  <c:v>764544536336321.25</c:v>
                </c:pt>
                <c:pt idx="72">
                  <c:v>739269059207523.62</c:v>
                </c:pt>
                <c:pt idx="73">
                  <c:v>716021326909982.25</c:v>
                </c:pt>
                <c:pt idx="74">
                  <c:v>692266332516810.37</c:v>
                </c:pt>
                <c:pt idx="75">
                  <c:v>670072716891285.62</c:v>
                </c:pt>
                <c:pt idx="76">
                  <c:v>647815047428276.62</c:v>
                </c:pt>
                <c:pt idx="77">
                  <c:v>625785549285674.75</c:v>
                </c:pt>
                <c:pt idx="78">
                  <c:v>605310548051345</c:v>
                </c:pt>
                <c:pt idx="79">
                  <c:v>585736810058109.62</c:v>
                </c:pt>
                <c:pt idx="80">
                  <c:v>565764364024041.25</c:v>
                </c:pt>
                <c:pt idx="81">
                  <c:v>547201082126506.75</c:v>
                </c:pt>
                <c:pt idx="82">
                  <c:v>527604469491761.62</c:v>
                </c:pt>
                <c:pt idx="83">
                  <c:v>510336898699577.94</c:v>
                </c:pt>
                <c:pt idx="84">
                  <c:v>492560090053309</c:v>
                </c:pt>
                <c:pt idx="85">
                  <c:v>475180905095689</c:v>
                </c:pt>
                <c:pt idx="86">
                  <c:v>459202143652602.69</c:v>
                </c:pt>
                <c:pt idx="87">
                  <c:v>443262186820079</c:v>
                </c:pt>
                <c:pt idx="88">
                  <c:v>427663240158095.31</c:v>
                </c:pt>
                <c:pt idx="89">
                  <c:v>412882329625965.69</c:v>
                </c:pt>
                <c:pt idx="90">
                  <c:v>398440603892279.87</c:v>
                </c:pt>
                <c:pt idx="91">
                  <c:v>383485783775520.37</c:v>
                </c:pt>
                <c:pt idx="92">
                  <c:v>369980620623459.94</c:v>
                </c:pt>
                <c:pt idx="93">
                  <c:v>357248496720554.87</c:v>
                </c:pt>
                <c:pt idx="94">
                  <c:v>343838392676644.37</c:v>
                </c:pt>
                <c:pt idx="95">
                  <c:v>332146803764288.44</c:v>
                </c:pt>
                <c:pt idx="96">
                  <c:v>319845468471968.87</c:v>
                </c:pt>
                <c:pt idx="97">
                  <c:v>308328309726347.12</c:v>
                </c:pt>
                <c:pt idx="98">
                  <c:v>297486533618272.75</c:v>
                </c:pt>
                <c:pt idx="99">
                  <c:v>286159504933067.44</c:v>
                </c:pt>
                <c:pt idx="100">
                  <c:v>275995855894748.12</c:v>
                </c:pt>
                <c:pt idx="101">
                  <c:v>266561282447647.94</c:v>
                </c:pt>
                <c:pt idx="102">
                  <c:v>257278579155500.41</c:v>
                </c:pt>
                <c:pt idx="103">
                  <c:v>248464201574708.03</c:v>
                </c:pt>
                <c:pt idx="104">
                  <c:v>239353533984801.22</c:v>
                </c:pt>
                <c:pt idx="105">
                  <c:v>230735795418580.44</c:v>
                </c:pt>
                <c:pt idx="106">
                  <c:v>223373924361849.44</c:v>
                </c:pt>
                <c:pt idx="107">
                  <c:v>215198340747011.87</c:v>
                </c:pt>
                <c:pt idx="108">
                  <c:v>207868114746147.03</c:v>
                </c:pt>
                <c:pt idx="109">
                  <c:v>200582095845874.59</c:v>
                </c:pt>
                <c:pt idx="110">
                  <c:v>195076737089164.28</c:v>
                </c:pt>
                <c:pt idx="111">
                  <c:v>188827143272111.87</c:v>
                </c:pt>
                <c:pt idx="112">
                  <c:v>181792244025413.81</c:v>
                </c:pt>
                <c:pt idx="113">
                  <c:v>176767128050752.59</c:v>
                </c:pt>
                <c:pt idx="114">
                  <c:v>171337315296003.25</c:v>
                </c:pt>
                <c:pt idx="115">
                  <c:v>165922769955162.66</c:v>
                </c:pt>
                <c:pt idx="116">
                  <c:v>160467915272472.62</c:v>
                </c:pt>
                <c:pt idx="117">
                  <c:v>156778410898417.81</c:v>
                </c:pt>
                <c:pt idx="118">
                  <c:v>151704996608907.37</c:v>
                </c:pt>
                <c:pt idx="119">
                  <c:v>147678237239640</c:v>
                </c:pt>
              </c:numCache>
            </c:numRef>
          </c:xVal>
          <c:yVal>
            <c:numRef>
              <c:f>Calc!$P$12:$P$131</c:f>
              <c:numCache>
                <c:formatCode>0.00E+00</c:formatCode>
                <c:ptCount val="120"/>
                <c:pt idx="0">
                  <c:v>7.5737283108851802E-5</c:v>
                </c:pt>
                <c:pt idx="1">
                  <c:v>7.762538928513496E-5</c:v>
                </c:pt>
                <c:pt idx="2">
                  <c:v>7.8848284365177687E-5</c:v>
                </c:pt>
                <c:pt idx="3">
                  <c:v>8.1032250714042754E-5</c:v>
                </c:pt>
                <c:pt idx="4">
                  <c:v>8.3395180613490781E-5</c:v>
                </c:pt>
                <c:pt idx="5">
                  <c:v>8.5944823279292967E-5</c:v>
                </c:pt>
                <c:pt idx="6">
                  <c:v>8.8714450952453051E-5</c:v>
                </c:pt>
                <c:pt idx="7">
                  <c:v>9.1504586756476668E-5</c:v>
                </c:pt>
                <c:pt idx="8">
                  <c:v>9.4321616593314472E-5</c:v>
                </c:pt>
                <c:pt idx="9">
                  <c:v>9.741969287724936E-5</c:v>
                </c:pt>
                <c:pt idx="10">
                  <c:v>1.0026249271370559E-4</c:v>
                </c:pt>
                <c:pt idx="11">
                  <c:v>1.0345217649866598E-4</c:v>
                </c:pt>
                <c:pt idx="12">
                  <c:v>1.0681173087304521E-4</c:v>
                </c:pt>
                <c:pt idx="13">
                  <c:v>1.0986233973516184E-4</c:v>
                </c:pt>
                <c:pt idx="14">
                  <c:v>1.1335169096419158E-4</c:v>
                </c:pt>
                <c:pt idx="15">
                  <c:v>1.1674313049101478E-4</c:v>
                </c:pt>
                <c:pt idx="16">
                  <c:v>1.201758774037065E-4</c:v>
                </c:pt>
                <c:pt idx="17">
                  <c:v>1.2406369302032089E-4</c:v>
                </c:pt>
                <c:pt idx="18">
                  <c:v>1.2730173289811223E-4</c:v>
                </c:pt>
                <c:pt idx="19">
                  <c:v>1.3117593442729252E-4</c:v>
                </c:pt>
                <c:pt idx="20">
                  <c:v>1.3529620005831467E-4</c:v>
                </c:pt>
                <c:pt idx="21">
                  <c:v>1.3862965562986594E-4</c:v>
                </c:pt>
                <c:pt idx="22">
                  <c:v>1.4305012206578124E-4</c:v>
                </c:pt>
                <c:pt idx="23">
                  <c:v>1.4701804781920143E-4</c:v>
                </c:pt>
                <c:pt idx="24">
                  <c:v>1.5094571186283174E-4</c:v>
                </c:pt>
                <c:pt idx="25">
                  <c:v>1.5582662394344281E-4</c:v>
                </c:pt>
                <c:pt idx="26">
                  <c:v>1.5922926037233295E-4</c:v>
                </c:pt>
                <c:pt idx="27">
                  <c:v>1.6387023736323981E-4</c:v>
                </c:pt>
                <c:pt idx="28">
                  <c:v>1.6903271897014747E-4</c:v>
                </c:pt>
                <c:pt idx="29">
                  <c:v>1.7241057935123518E-4</c:v>
                </c:pt>
                <c:pt idx="30">
                  <c:v>1.7776442946842142E-4</c:v>
                </c:pt>
                <c:pt idx="31">
                  <c:v>1.82477544332526E-4</c:v>
                </c:pt>
                <c:pt idx="32">
                  <c:v>1.8650284921048005E-4</c:v>
                </c:pt>
                <c:pt idx="33">
                  <c:v>1.930540000338458E-4</c:v>
                </c:pt>
                <c:pt idx="34">
                  <c:v>1.9607820159662161E-4</c:v>
                </c:pt>
                <c:pt idx="35">
                  <c:v>2.0187771016960771E-4</c:v>
                </c:pt>
                <c:pt idx="36">
                  <c:v>2.0834194553787357E-4</c:v>
                </c:pt>
                <c:pt idx="37">
                  <c:v>2.1151218015968892E-4</c:v>
                </c:pt>
                <c:pt idx="38">
                  <c:v>2.1808729116186548E-4</c:v>
                </c:pt>
                <c:pt idx="39">
                  <c:v>2.2227304992602321E-4</c:v>
                </c:pt>
                <c:pt idx="40">
                  <c:v>2.2639227838257232E-4</c:v>
                </c:pt>
                <c:pt idx="41">
                  <c:v>2.3399611330385625E-4</c:v>
                </c:pt>
                <c:pt idx="42">
                  <c:v>2.3636481052819589E-4</c:v>
                </c:pt>
                <c:pt idx="43">
                  <c:v>2.4234114910342747E-4</c:v>
                </c:pt>
                <c:pt idx="44">
                  <c:v>2.5180819826651075E-4</c:v>
                </c:pt>
                <c:pt idx="45">
                  <c:v>2.5370580591983939E-4</c:v>
                </c:pt>
                <c:pt idx="46">
                  <c:v>2.6152700058790327E-4</c:v>
                </c:pt>
                <c:pt idx="47">
                  <c:v>2.7033707982796737E-4</c:v>
                </c:pt>
                <c:pt idx="48">
                  <c:v>2.7202508147429038E-4</c:v>
                </c:pt>
                <c:pt idx="49">
                  <c:v>2.8234319573068519E-4</c:v>
                </c:pt>
                <c:pt idx="50">
                  <c:v>2.8367525526285485E-4</c:v>
                </c:pt>
                <c:pt idx="51">
                  <c:v>2.8930041102904244E-4</c:v>
                </c:pt>
                <c:pt idx="52">
                  <c:v>3.0039578849918886E-4</c:v>
                </c:pt>
                <c:pt idx="53">
                  <c:v>2.9829446263615188E-4</c:v>
                </c:pt>
                <c:pt idx="54">
                  <c:v>3.0770931541946212E-4</c:v>
                </c:pt>
                <c:pt idx="55">
                  <c:v>3.1950866456273913E-4</c:v>
                </c:pt>
                <c:pt idx="56">
                  <c:v>3.1741451384415372E-4</c:v>
                </c:pt>
                <c:pt idx="57">
                  <c:v>3.3150533891404766E-4</c:v>
                </c:pt>
                <c:pt idx="58">
                  <c:v>3.3520172858392543E-4</c:v>
                </c:pt>
                <c:pt idx="59">
                  <c:v>3.3944497888343335E-4</c:v>
                </c:pt>
                <c:pt idx="60">
                  <c:v>3.5684773151508124E-4</c:v>
                </c:pt>
                <c:pt idx="61">
                  <c:v>3.4796038038980453E-4</c:v>
                </c:pt>
                <c:pt idx="62">
                  <c:v>3.5994775964603027E-4</c:v>
                </c:pt>
                <c:pt idx="63">
                  <c:v>3.7595734344399471E-4</c:v>
                </c:pt>
                <c:pt idx="64">
                  <c:v>3.629586740545674E-4</c:v>
                </c:pt>
                <c:pt idx="65">
                  <c:v>3.7682161688545114E-4</c:v>
                </c:pt>
                <c:pt idx="66">
                  <c:v>3.9085787870661766E-4</c:v>
                </c:pt>
                <c:pt idx="67">
                  <c:v>3.8479608960384081E-4</c:v>
                </c:pt>
                <c:pt idx="68">
                  <c:v>4.0646108212557733E-4</c:v>
                </c:pt>
                <c:pt idx="69">
                  <c:v>3.9916592773873186E-4</c:v>
                </c:pt>
                <c:pt idx="70">
                  <c:v>4.0543951446203884E-4</c:v>
                </c:pt>
                <c:pt idx="71">
                  <c:v>4.318068225917507E-4</c:v>
                </c:pt>
                <c:pt idx="72">
                  <c:v>4.0938110149999244E-4</c:v>
                </c:pt>
                <c:pt idx="73">
                  <c:v>4.2495166415825516E-4</c:v>
                </c:pt>
                <c:pt idx="74">
                  <c:v>4.4541727125069528E-4</c:v>
                </c:pt>
                <c:pt idx="75">
                  <c:v>4.2387256064575838E-4</c:v>
                </c:pt>
                <c:pt idx="76">
                  <c:v>4.6707437867606321E-4</c:v>
                </c:pt>
                <c:pt idx="77">
                  <c:v>4.3066588917049222E-4</c:v>
                </c:pt>
                <c:pt idx="78">
                  <c:v>4.4102676911612519E-4</c:v>
                </c:pt>
                <c:pt idx="79">
                  <c:v>4.7889932695896421E-4</c:v>
                </c:pt>
                <c:pt idx="80">
                  <c:v>4.357844989542612E-4</c:v>
                </c:pt>
                <c:pt idx="81">
                  <c:v>4.6031405639033741E-4</c:v>
                </c:pt>
                <c:pt idx="82">
                  <c:v>4.8423379936473064E-4</c:v>
                </c:pt>
                <c:pt idx="83">
                  <c:v>4.4177504283505759E-4</c:v>
                </c:pt>
                <c:pt idx="84">
                  <c:v>4.8824087571425374E-4</c:v>
                </c:pt>
                <c:pt idx="85">
                  <c:v>4.5833442334333973E-4</c:v>
                </c:pt>
                <c:pt idx="86">
                  <c:v>4.4870879251229155E-4</c:v>
                </c:pt>
                <c:pt idx="87">
                  <c:v>5.3584513765796008E-4</c:v>
                </c:pt>
                <c:pt idx="88">
                  <c:v>4.3493501649948446E-4</c:v>
                </c:pt>
                <c:pt idx="89">
                  <c:v>4.5095710536789197E-4</c:v>
                </c:pt>
                <c:pt idx="90">
                  <c:v>4.9907517264644768E-4</c:v>
                </c:pt>
                <c:pt idx="91">
                  <c:v>4.3015229075739174E-4</c:v>
                </c:pt>
                <c:pt idx="92">
                  <c:v>4.902933592460417E-4</c:v>
                </c:pt>
                <c:pt idx="93">
                  <c:v>4.3801639735434583E-4</c:v>
                </c:pt>
                <c:pt idx="94">
                  <c:v>4.4645364470826662E-4</c:v>
                </c:pt>
                <c:pt idx="95">
                  <c:v>5.2480046222023221E-4</c:v>
                </c:pt>
                <c:pt idx="96">
                  <c:v>4.3361804975142285E-4</c:v>
                </c:pt>
                <c:pt idx="97">
                  <c:v>4.6485951173124367E-4</c:v>
                </c:pt>
                <c:pt idx="98">
                  <c:v>4.9399430240646867E-4</c:v>
                </c:pt>
                <c:pt idx="99">
                  <c:v>4.2979440359595407E-4</c:v>
                </c:pt>
                <c:pt idx="100">
                  <c:v>5.1502006383277613E-4</c:v>
                </c:pt>
                <c:pt idx="101">
                  <c:v>4.4431228755616246E-4</c:v>
                </c:pt>
                <c:pt idx="102">
                  <c:v>4.2852258388792876E-4</c:v>
                </c:pt>
                <c:pt idx="103">
                  <c:v>5.1881247298820015E-4</c:v>
                </c:pt>
                <c:pt idx="104">
                  <c:v>4.0147125436326562E-4</c:v>
                </c:pt>
                <c:pt idx="105">
                  <c:v>4.259762494122619E-4</c:v>
                </c:pt>
                <c:pt idx="106">
                  <c:v>5.010553105574949E-4</c:v>
                </c:pt>
                <c:pt idx="107">
                  <c:v>3.8740767431058641E-4</c:v>
                </c:pt>
                <c:pt idx="108">
                  <c:v>4.6340841671324009E-4</c:v>
                </c:pt>
                <c:pt idx="109">
                  <c:v>3.9579495457313965E-4</c:v>
                </c:pt>
                <c:pt idx="110">
                  <c:v>3.8691020789977137E-4</c:v>
                </c:pt>
                <c:pt idx="111">
                  <c:v>4.9014314593178517E-4</c:v>
                </c:pt>
                <c:pt idx="112">
                  <c:v>3.5244890288449617E-4</c:v>
                </c:pt>
                <c:pt idx="113">
                  <c:v>3.9353640810649494E-4</c:v>
                </c:pt>
                <c:pt idx="114">
                  <c:v>4.1882804193147006E-4</c:v>
                </c:pt>
                <c:pt idx="115">
                  <c:v>3.4244526678078575E-4</c:v>
                </c:pt>
                <c:pt idx="116">
                  <c:v>4.2040863790296975E-4</c:v>
                </c:pt>
                <c:pt idx="117">
                  <c:v>3.4522165843920176E-4</c:v>
                </c:pt>
                <c:pt idx="118">
                  <c:v>3.4451585326652248E-4</c:v>
                </c:pt>
                <c:pt idx="119">
                  <c:v>4.0304331004987408E-4</c:v>
                </c:pt>
              </c:numCache>
            </c:numRef>
          </c:yVal>
          <c:smooth val="0"/>
        </c:ser>
        <c:ser>
          <c:idx val="1"/>
          <c:order val="1"/>
          <c:tx>
            <c:v>Apparent Carrier Density</c:v>
          </c:tx>
          <c:spPr>
            <a:ln w="28575">
              <a:noFill/>
            </a:ln>
          </c:spPr>
          <c:marker>
            <c:symbol val="x"/>
            <c:size val="6"/>
            <c:spPr>
              <a:noFill/>
              <a:ln w="12700">
                <a:solidFill>
                  <a:srgbClr val="2004EC"/>
                </a:solidFill>
              </a:ln>
            </c:spPr>
          </c:marker>
          <c:xVal>
            <c:numRef>
              <c:f>Calc!$I$12:$I$131</c:f>
              <c:numCache>
                <c:formatCode>0.00E+00</c:formatCode>
                <c:ptCount val="120"/>
                <c:pt idx="0">
                  <c:v>8280128858683653</c:v>
                </c:pt>
                <c:pt idx="1">
                  <c:v>8318371307832016</c:v>
                </c:pt>
                <c:pt idx="2">
                  <c:v>8100663770522564</c:v>
                </c:pt>
                <c:pt idx="3">
                  <c:v>7819653846977320</c:v>
                </c:pt>
                <c:pt idx="4">
                  <c:v>7529106303172681</c:v>
                </c:pt>
                <c:pt idx="5">
                  <c:v>7240838114708719</c:v>
                </c:pt>
                <c:pt idx="6">
                  <c:v>6957994349400993</c:v>
                </c:pt>
                <c:pt idx="7">
                  <c:v>6685751356152515</c:v>
                </c:pt>
                <c:pt idx="8">
                  <c:v>6423987082665524</c:v>
                </c:pt>
                <c:pt idx="9">
                  <c:v>6173260391428934</c:v>
                </c:pt>
                <c:pt idx="10">
                  <c:v>5934470342486079</c:v>
                </c:pt>
                <c:pt idx="11">
                  <c:v>5705928596947935</c:v>
                </c:pt>
                <c:pt idx="12">
                  <c:v>5487981409533569</c:v>
                </c:pt>
                <c:pt idx="13">
                  <c:v>5279140938784232</c:v>
                </c:pt>
                <c:pt idx="14">
                  <c:v>5079038322726614</c:v>
                </c:pt>
                <c:pt idx="15">
                  <c:v>4888945383497467</c:v>
                </c:pt>
                <c:pt idx="16">
                  <c:v>4707078034554299</c:v>
                </c:pt>
                <c:pt idx="17">
                  <c:v>4534386484947477</c:v>
                </c:pt>
                <c:pt idx="18">
                  <c:v>4369637826078056</c:v>
                </c:pt>
                <c:pt idx="19">
                  <c:v>4211130389768981</c:v>
                </c:pt>
                <c:pt idx="20">
                  <c:v>4059693690977409</c:v>
                </c:pt>
                <c:pt idx="21">
                  <c:v>3915051365799600.5</c:v>
                </c:pt>
                <c:pt idx="22">
                  <c:v>3777391503419801.5</c:v>
                </c:pt>
                <c:pt idx="23">
                  <c:v>3645283068023184</c:v>
                </c:pt>
                <c:pt idx="24">
                  <c:v>3518164805781539.5</c:v>
                </c:pt>
                <c:pt idx="25">
                  <c:v>3397013458479484</c:v>
                </c:pt>
                <c:pt idx="26">
                  <c:v>3281239170397494.5</c:v>
                </c:pt>
                <c:pt idx="27">
                  <c:v>3169704805721946</c:v>
                </c:pt>
                <c:pt idx="28">
                  <c:v>3061861028118759.5</c:v>
                </c:pt>
                <c:pt idx="29">
                  <c:v>2958950718217559</c:v>
                </c:pt>
                <c:pt idx="30">
                  <c:v>2860407854364167.5</c:v>
                </c:pt>
                <c:pt idx="31">
                  <c:v>2765949848676798.5</c:v>
                </c:pt>
                <c:pt idx="32">
                  <c:v>2673850634950063.5</c:v>
                </c:pt>
                <c:pt idx="33">
                  <c:v>2587131206289060</c:v>
                </c:pt>
                <c:pt idx="34">
                  <c:v>2501974474969103.5</c:v>
                </c:pt>
                <c:pt idx="35">
                  <c:v>2421528536526037</c:v>
                </c:pt>
                <c:pt idx="36">
                  <c:v>2343481311620845.5</c:v>
                </c:pt>
                <c:pt idx="37">
                  <c:v>2267154283863490</c:v>
                </c:pt>
                <c:pt idx="38">
                  <c:v>2194801256365321</c:v>
                </c:pt>
                <c:pt idx="39">
                  <c:v>2124089956570445.5</c:v>
                </c:pt>
                <c:pt idx="40">
                  <c:v>2056249407246207.2</c:v>
                </c:pt>
                <c:pt idx="41">
                  <c:v>1991737917425052.2</c:v>
                </c:pt>
                <c:pt idx="42">
                  <c:v>1928587019507919.5</c:v>
                </c:pt>
                <c:pt idx="43">
                  <c:v>1868287424157004</c:v>
                </c:pt>
                <c:pt idx="44">
                  <c:v>1808986327497433.5</c:v>
                </c:pt>
                <c:pt idx="45">
                  <c:v>1752466504942248.3</c:v>
                </c:pt>
                <c:pt idx="46">
                  <c:v>1697738957393044.5</c:v>
                </c:pt>
                <c:pt idx="47">
                  <c:v>1645338890713628</c:v>
                </c:pt>
                <c:pt idx="48">
                  <c:v>1593108604489832</c:v>
                </c:pt>
                <c:pt idx="49">
                  <c:v>1543732199206721.2</c:v>
                </c:pt>
                <c:pt idx="50">
                  <c:v>1496477716623886.7</c:v>
                </c:pt>
                <c:pt idx="51">
                  <c:v>1449931398779417.8</c:v>
                </c:pt>
                <c:pt idx="52">
                  <c:v>1404758742900291.5</c:v>
                </c:pt>
                <c:pt idx="53">
                  <c:v>1360149093226980.5</c:v>
                </c:pt>
                <c:pt idx="54">
                  <c:v>1318339533162401.5</c:v>
                </c:pt>
                <c:pt idx="55">
                  <c:v>1276366761606454.7</c:v>
                </c:pt>
                <c:pt idx="56">
                  <c:v>1236397842097094.7</c:v>
                </c:pt>
                <c:pt idx="57">
                  <c:v>1198299764662150</c:v>
                </c:pt>
                <c:pt idx="58">
                  <c:v>1159718392552213</c:v>
                </c:pt>
                <c:pt idx="59">
                  <c:v>1124068435231203.9</c:v>
                </c:pt>
                <c:pt idx="60">
                  <c:v>1088875466666235.9</c:v>
                </c:pt>
                <c:pt idx="61">
                  <c:v>1054362756301558.5</c:v>
                </c:pt>
                <c:pt idx="62">
                  <c:v>1021130950439912.6</c:v>
                </c:pt>
                <c:pt idx="63">
                  <c:v>989273239742595.87</c:v>
                </c:pt>
                <c:pt idx="64">
                  <c:v>957932029709215.12</c:v>
                </c:pt>
                <c:pt idx="65">
                  <c:v>927748163589670.12</c:v>
                </c:pt>
                <c:pt idx="66">
                  <c:v>898480048585541.12</c:v>
                </c:pt>
                <c:pt idx="67">
                  <c:v>870180597539535.87</c:v>
                </c:pt>
                <c:pt idx="68">
                  <c:v>842429428213472.37</c:v>
                </c:pt>
                <c:pt idx="69">
                  <c:v>815349169601617.62</c:v>
                </c:pt>
                <c:pt idx="70">
                  <c:v>789885038373114.25</c:v>
                </c:pt>
                <c:pt idx="71">
                  <c:v>764544536336321.25</c:v>
                </c:pt>
                <c:pt idx="72">
                  <c:v>739269059207523.62</c:v>
                </c:pt>
                <c:pt idx="73">
                  <c:v>716021326909982.25</c:v>
                </c:pt>
                <c:pt idx="74">
                  <c:v>692266332516810.37</c:v>
                </c:pt>
                <c:pt idx="75">
                  <c:v>670072716891285.62</c:v>
                </c:pt>
                <c:pt idx="76">
                  <c:v>647815047428276.62</c:v>
                </c:pt>
                <c:pt idx="77">
                  <c:v>625785549285674.75</c:v>
                </c:pt>
                <c:pt idx="78">
                  <c:v>605310548051345</c:v>
                </c:pt>
                <c:pt idx="79">
                  <c:v>585736810058109.62</c:v>
                </c:pt>
                <c:pt idx="80">
                  <c:v>565764364024041.25</c:v>
                </c:pt>
                <c:pt idx="81">
                  <c:v>547201082126506.75</c:v>
                </c:pt>
                <c:pt idx="82">
                  <c:v>527604469491761.62</c:v>
                </c:pt>
                <c:pt idx="83">
                  <c:v>510336898699577.94</c:v>
                </c:pt>
                <c:pt idx="84">
                  <c:v>492560090053309</c:v>
                </c:pt>
                <c:pt idx="85">
                  <c:v>475180905095689</c:v>
                </c:pt>
                <c:pt idx="86">
                  <c:v>459202143652602.69</c:v>
                </c:pt>
                <c:pt idx="87">
                  <c:v>443262186820079</c:v>
                </c:pt>
                <c:pt idx="88">
                  <c:v>427663240158095.31</c:v>
                </c:pt>
                <c:pt idx="89">
                  <c:v>412882329625965.69</c:v>
                </c:pt>
                <c:pt idx="90">
                  <c:v>398440603892279.87</c:v>
                </c:pt>
                <c:pt idx="91">
                  <c:v>383485783775520.37</c:v>
                </c:pt>
                <c:pt idx="92">
                  <c:v>369980620623459.94</c:v>
                </c:pt>
                <c:pt idx="93">
                  <c:v>357248496720554.87</c:v>
                </c:pt>
                <c:pt idx="94">
                  <c:v>343838392676644.37</c:v>
                </c:pt>
                <c:pt idx="95">
                  <c:v>332146803764288.44</c:v>
                </c:pt>
                <c:pt idx="96">
                  <c:v>319845468471968.87</c:v>
                </c:pt>
                <c:pt idx="97">
                  <c:v>308328309726347.12</c:v>
                </c:pt>
                <c:pt idx="98">
                  <c:v>297486533618272.75</c:v>
                </c:pt>
                <c:pt idx="99">
                  <c:v>286159504933067.44</c:v>
                </c:pt>
                <c:pt idx="100">
                  <c:v>275995855894748.12</c:v>
                </c:pt>
                <c:pt idx="101">
                  <c:v>266561282447647.94</c:v>
                </c:pt>
                <c:pt idx="102">
                  <c:v>257278579155500.41</c:v>
                </c:pt>
                <c:pt idx="103">
                  <c:v>248464201574708.03</c:v>
                </c:pt>
                <c:pt idx="104">
                  <c:v>239353533984801.22</c:v>
                </c:pt>
                <c:pt idx="105">
                  <c:v>230735795418580.44</c:v>
                </c:pt>
                <c:pt idx="106">
                  <c:v>223373924361849.44</c:v>
                </c:pt>
                <c:pt idx="107">
                  <c:v>215198340747011.87</c:v>
                </c:pt>
                <c:pt idx="108">
                  <c:v>207868114746147.03</c:v>
                </c:pt>
                <c:pt idx="109">
                  <c:v>200582095845874.59</c:v>
                </c:pt>
                <c:pt idx="110">
                  <c:v>195076737089164.28</c:v>
                </c:pt>
                <c:pt idx="111">
                  <c:v>188827143272111.87</c:v>
                </c:pt>
                <c:pt idx="112">
                  <c:v>181792244025413.81</c:v>
                </c:pt>
                <c:pt idx="113">
                  <c:v>176767128050752.59</c:v>
                </c:pt>
                <c:pt idx="114">
                  <c:v>171337315296003.25</c:v>
                </c:pt>
                <c:pt idx="115">
                  <c:v>165922769955162.66</c:v>
                </c:pt>
                <c:pt idx="116">
                  <c:v>160467915272472.62</c:v>
                </c:pt>
                <c:pt idx="117">
                  <c:v>156778410898417.81</c:v>
                </c:pt>
                <c:pt idx="118">
                  <c:v>151704996608907.37</c:v>
                </c:pt>
                <c:pt idx="119">
                  <c:v>147678237239640</c:v>
                </c:pt>
              </c:numCache>
            </c:numRef>
          </c:xVal>
          <c:yVal>
            <c:numRef>
              <c:f>Calc!$P$12:$P$131</c:f>
              <c:numCache>
                <c:formatCode>0.00E+00</c:formatCode>
                <c:ptCount val="120"/>
                <c:pt idx="0">
                  <c:v>7.5737283108851802E-5</c:v>
                </c:pt>
                <c:pt idx="1">
                  <c:v>7.762538928513496E-5</c:v>
                </c:pt>
                <c:pt idx="2">
                  <c:v>7.8848284365177687E-5</c:v>
                </c:pt>
                <c:pt idx="3">
                  <c:v>8.1032250714042754E-5</c:v>
                </c:pt>
                <c:pt idx="4">
                  <c:v>8.3395180613490781E-5</c:v>
                </c:pt>
                <c:pt idx="5">
                  <c:v>8.5944823279292967E-5</c:v>
                </c:pt>
                <c:pt idx="6">
                  <c:v>8.8714450952453051E-5</c:v>
                </c:pt>
                <c:pt idx="7">
                  <c:v>9.1504586756476668E-5</c:v>
                </c:pt>
                <c:pt idx="8">
                  <c:v>9.4321616593314472E-5</c:v>
                </c:pt>
                <c:pt idx="9">
                  <c:v>9.741969287724936E-5</c:v>
                </c:pt>
                <c:pt idx="10">
                  <c:v>1.0026249271370559E-4</c:v>
                </c:pt>
                <c:pt idx="11">
                  <c:v>1.0345217649866598E-4</c:v>
                </c:pt>
                <c:pt idx="12">
                  <c:v>1.0681173087304521E-4</c:v>
                </c:pt>
                <c:pt idx="13">
                  <c:v>1.0986233973516184E-4</c:v>
                </c:pt>
                <c:pt idx="14">
                  <c:v>1.1335169096419158E-4</c:v>
                </c:pt>
                <c:pt idx="15">
                  <c:v>1.1674313049101478E-4</c:v>
                </c:pt>
                <c:pt idx="16">
                  <c:v>1.201758774037065E-4</c:v>
                </c:pt>
                <c:pt idx="17">
                  <c:v>1.2406369302032089E-4</c:v>
                </c:pt>
                <c:pt idx="18">
                  <c:v>1.2730173289811223E-4</c:v>
                </c:pt>
                <c:pt idx="19">
                  <c:v>1.3117593442729252E-4</c:v>
                </c:pt>
                <c:pt idx="20">
                  <c:v>1.3529620005831467E-4</c:v>
                </c:pt>
                <c:pt idx="21">
                  <c:v>1.3862965562986594E-4</c:v>
                </c:pt>
                <c:pt idx="22">
                  <c:v>1.4305012206578124E-4</c:v>
                </c:pt>
                <c:pt idx="23">
                  <c:v>1.4701804781920143E-4</c:v>
                </c:pt>
                <c:pt idx="24">
                  <c:v>1.5094571186283174E-4</c:v>
                </c:pt>
                <c:pt idx="25">
                  <c:v>1.5582662394344281E-4</c:v>
                </c:pt>
                <c:pt idx="26">
                  <c:v>1.5922926037233295E-4</c:v>
                </c:pt>
                <c:pt idx="27">
                  <c:v>1.6387023736323981E-4</c:v>
                </c:pt>
                <c:pt idx="28">
                  <c:v>1.6903271897014747E-4</c:v>
                </c:pt>
                <c:pt idx="29">
                  <c:v>1.7241057935123518E-4</c:v>
                </c:pt>
                <c:pt idx="30">
                  <c:v>1.7776442946842142E-4</c:v>
                </c:pt>
                <c:pt idx="31">
                  <c:v>1.82477544332526E-4</c:v>
                </c:pt>
                <c:pt idx="32">
                  <c:v>1.8650284921048005E-4</c:v>
                </c:pt>
                <c:pt idx="33">
                  <c:v>1.930540000338458E-4</c:v>
                </c:pt>
                <c:pt idx="34">
                  <c:v>1.9607820159662161E-4</c:v>
                </c:pt>
                <c:pt idx="35">
                  <c:v>2.0187771016960771E-4</c:v>
                </c:pt>
                <c:pt idx="36">
                  <c:v>2.0834194553787357E-4</c:v>
                </c:pt>
                <c:pt idx="37">
                  <c:v>2.1151218015968892E-4</c:v>
                </c:pt>
                <c:pt idx="38">
                  <c:v>2.1808729116186548E-4</c:v>
                </c:pt>
                <c:pt idx="39">
                  <c:v>2.2227304992602321E-4</c:v>
                </c:pt>
                <c:pt idx="40">
                  <c:v>2.2639227838257232E-4</c:v>
                </c:pt>
                <c:pt idx="41">
                  <c:v>2.3399611330385625E-4</c:v>
                </c:pt>
                <c:pt idx="42">
                  <c:v>2.3636481052819589E-4</c:v>
                </c:pt>
                <c:pt idx="43">
                  <c:v>2.4234114910342747E-4</c:v>
                </c:pt>
                <c:pt idx="44">
                  <c:v>2.5180819826651075E-4</c:v>
                </c:pt>
                <c:pt idx="45">
                  <c:v>2.5370580591983939E-4</c:v>
                </c:pt>
                <c:pt idx="46">
                  <c:v>2.6152700058790327E-4</c:v>
                </c:pt>
                <c:pt idx="47">
                  <c:v>2.7033707982796737E-4</c:v>
                </c:pt>
                <c:pt idx="48">
                  <c:v>2.7202508147429038E-4</c:v>
                </c:pt>
                <c:pt idx="49">
                  <c:v>2.8234319573068519E-4</c:v>
                </c:pt>
                <c:pt idx="50">
                  <c:v>2.8367525526285485E-4</c:v>
                </c:pt>
                <c:pt idx="51">
                  <c:v>2.8930041102904244E-4</c:v>
                </c:pt>
                <c:pt idx="52">
                  <c:v>3.0039578849918886E-4</c:v>
                </c:pt>
                <c:pt idx="53">
                  <c:v>2.9829446263615188E-4</c:v>
                </c:pt>
                <c:pt idx="54">
                  <c:v>3.0770931541946212E-4</c:v>
                </c:pt>
                <c:pt idx="55">
                  <c:v>3.1950866456273913E-4</c:v>
                </c:pt>
                <c:pt idx="56">
                  <c:v>3.1741451384415372E-4</c:v>
                </c:pt>
                <c:pt idx="57">
                  <c:v>3.3150533891404766E-4</c:v>
                </c:pt>
                <c:pt idx="58">
                  <c:v>3.3520172858392543E-4</c:v>
                </c:pt>
                <c:pt idx="59">
                  <c:v>3.3944497888343335E-4</c:v>
                </c:pt>
                <c:pt idx="60">
                  <c:v>3.5684773151508124E-4</c:v>
                </c:pt>
                <c:pt idx="61">
                  <c:v>3.4796038038980453E-4</c:v>
                </c:pt>
                <c:pt idx="62">
                  <c:v>3.5994775964603027E-4</c:v>
                </c:pt>
                <c:pt idx="63">
                  <c:v>3.7595734344399471E-4</c:v>
                </c:pt>
                <c:pt idx="64">
                  <c:v>3.629586740545674E-4</c:v>
                </c:pt>
                <c:pt idx="65">
                  <c:v>3.7682161688545114E-4</c:v>
                </c:pt>
                <c:pt idx="66">
                  <c:v>3.9085787870661766E-4</c:v>
                </c:pt>
                <c:pt idx="67">
                  <c:v>3.8479608960384081E-4</c:v>
                </c:pt>
                <c:pt idx="68">
                  <c:v>4.0646108212557733E-4</c:v>
                </c:pt>
                <c:pt idx="69">
                  <c:v>3.9916592773873186E-4</c:v>
                </c:pt>
                <c:pt idx="70">
                  <c:v>4.0543951446203884E-4</c:v>
                </c:pt>
                <c:pt idx="71">
                  <c:v>4.318068225917507E-4</c:v>
                </c:pt>
                <c:pt idx="72">
                  <c:v>4.0938110149999244E-4</c:v>
                </c:pt>
                <c:pt idx="73">
                  <c:v>4.2495166415825516E-4</c:v>
                </c:pt>
                <c:pt idx="74">
                  <c:v>4.4541727125069528E-4</c:v>
                </c:pt>
                <c:pt idx="75">
                  <c:v>4.2387256064575838E-4</c:v>
                </c:pt>
                <c:pt idx="76">
                  <c:v>4.6707437867606321E-4</c:v>
                </c:pt>
                <c:pt idx="77">
                  <c:v>4.3066588917049222E-4</c:v>
                </c:pt>
                <c:pt idx="78">
                  <c:v>4.4102676911612519E-4</c:v>
                </c:pt>
                <c:pt idx="79">
                  <c:v>4.7889932695896421E-4</c:v>
                </c:pt>
                <c:pt idx="80">
                  <c:v>4.357844989542612E-4</c:v>
                </c:pt>
                <c:pt idx="81">
                  <c:v>4.6031405639033741E-4</c:v>
                </c:pt>
                <c:pt idx="82">
                  <c:v>4.8423379936473064E-4</c:v>
                </c:pt>
                <c:pt idx="83">
                  <c:v>4.4177504283505759E-4</c:v>
                </c:pt>
                <c:pt idx="84">
                  <c:v>4.8824087571425374E-4</c:v>
                </c:pt>
                <c:pt idx="85">
                  <c:v>4.5833442334333973E-4</c:v>
                </c:pt>
                <c:pt idx="86">
                  <c:v>4.4870879251229155E-4</c:v>
                </c:pt>
                <c:pt idx="87">
                  <c:v>5.3584513765796008E-4</c:v>
                </c:pt>
                <c:pt idx="88">
                  <c:v>4.3493501649948446E-4</c:v>
                </c:pt>
                <c:pt idx="89">
                  <c:v>4.5095710536789197E-4</c:v>
                </c:pt>
                <c:pt idx="90">
                  <c:v>4.9907517264644768E-4</c:v>
                </c:pt>
                <c:pt idx="91">
                  <c:v>4.3015229075739174E-4</c:v>
                </c:pt>
                <c:pt idx="92">
                  <c:v>4.902933592460417E-4</c:v>
                </c:pt>
                <c:pt idx="93">
                  <c:v>4.3801639735434583E-4</c:v>
                </c:pt>
                <c:pt idx="94">
                  <c:v>4.4645364470826662E-4</c:v>
                </c:pt>
                <c:pt idx="95">
                  <c:v>5.2480046222023221E-4</c:v>
                </c:pt>
                <c:pt idx="96">
                  <c:v>4.3361804975142285E-4</c:v>
                </c:pt>
                <c:pt idx="97">
                  <c:v>4.6485951173124367E-4</c:v>
                </c:pt>
                <c:pt idx="98">
                  <c:v>4.9399430240646867E-4</c:v>
                </c:pt>
                <c:pt idx="99">
                  <c:v>4.2979440359595407E-4</c:v>
                </c:pt>
                <c:pt idx="100">
                  <c:v>5.1502006383277613E-4</c:v>
                </c:pt>
                <c:pt idx="101">
                  <c:v>4.4431228755616246E-4</c:v>
                </c:pt>
                <c:pt idx="102">
                  <c:v>4.2852258388792876E-4</c:v>
                </c:pt>
                <c:pt idx="103">
                  <c:v>5.1881247298820015E-4</c:v>
                </c:pt>
                <c:pt idx="104">
                  <c:v>4.0147125436326562E-4</c:v>
                </c:pt>
                <c:pt idx="105">
                  <c:v>4.259762494122619E-4</c:v>
                </c:pt>
                <c:pt idx="106">
                  <c:v>5.010553105574949E-4</c:v>
                </c:pt>
                <c:pt idx="107">
                  <c:v>3.8740767431058641E-4</c:v>
                </c:pt>
                <c:pt idx="108">
                  <c:v>4.6340841671324009E-4</c:v>
                </c:pt>
                <c:pt idx="109">
                  <c:v>3.9579495457313965E-4</c:v>
                </c:pt>
                <c:pt idx="110">
                  <c:v>3.8691020789977137E-4</c:v>
                </c:pt>
                <c:pt idx="111">
                  <c:v>4.9014314593178517E-4</c:v>
                </c:pt>
                <c:pt idx="112">
                  <c:v>3.5244890288449617E-4</c:v>
                </c:pt>
                <c:pt idx="113">
                  <c:v>3.9353640810649494E-4</c:v>
                </c:pt>
                <c:pt idx="114">
                  <c:v>4.1882804193147006E-4</c:v>
                </c:pt>
                <c:pt idx="115">
                  <c:v>3.4244526678078575E-4</c:v>
                </c:pt>
                <c:pt idx="116">
                  <c:v>4.2040863790296975E-4</c:v>
                </c:pt>
                <c:pt idx="117">
                  <c:v>3.4522165843920176E-4</c:v>
                </c:pt>
                <c:pt idx="118">
                  <c:v>3.4451585326652248E-4</c:v>
                </c:pt>
                <c:pt idx="119">
                  <c:v>4.0304331004987408E-4</c:v>
                </c:pt>
              </c:numCache>
            </c:numRef>
          </c:yVal>
          <c:smooth val="0"/>
        </c:ser>
        <c:ser>
          <c:idx val="2"/>
          <c:order val="2"/>
          <c:tx>
            <c:v>Specified Carrier Density</c:v>
          </c:tx>
          <c:spPr>
            <a:ln w="28575">
              <a:noFill/>
            </a:ln>
          </c:spPr>
          <c:marker>
            <c:symbol val="diamond"/>
            <c:size val="16"/>
            <c:spPr>
              <a:solidFill>
                <a:srgbClr val="FF0000"/>
              </a:solidFill>
              <a:ln>
                <a:solidFill>
                  <a:srgbClr val="FF0000"/>
                </a:solidFill>
              </a:ln>
            </c:spPr>
          </c:marker>
          <c:xVal>
            <c:numRef>
              <c:f>Calc!$O$6</c:f>
              <c:numCache>
                <c:formatCode>0.00E+00</c:formatCode>
                <c:ptCount val="1"/>
                <c:pt idx="0">
                  <c:v>1000000000000000</c:v>
                </c:pt>
              </c:numCache>
            </c:numRef>
          </c:xVal>
          <c:yVal>
            <c:numRef>
              <c:f>Calc!$S$6</c:f>
              <c:numCache>
                <c:formatCode>0.00E+00</c:formatCode>
                <c:ptCount val="1"/>
                <c:pt idx="0">
                  <c:v>3.6387198498951621E-4</c:v>
                </c:pt>
              </c:numCache>
            </c:numRef>
          </c:yVal>
          <c:smooth val="0"/>
        </c:ser>
        <c:dLbls>
          <c:showLegendKey val="0"/>
          <c:showVal val="0"/>
          <c:showCatName val="0"/>
          <c:showSerName val="0"/>
          <c:showPercent val="0"/>
          <c:showBubbleSize val="0"/>
        </c:dLbls>
        <c:axId val="273801216"/>
        <c:axId val="273803520"/>
      </c:scatterChart>
      <c:valAx>
        <c:axId val="273801216"/>
        <c:scaling>
          <c:logBase val="10"/>
          <c:orientation val="minMax"/>
          <c:min val="1000000000000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803520"/>
        <c:crosses val="autoZero"/>
        <c:crossBetween val="midCat"/>
      </c:valAx>
      <c:valAx>
        <c:axId val="273803520"/>
        <c:scaling>
          <c:orientation val="minMax"/>
          <c:max val="1.4554879399580648E-3"/>
          <c:min val="0"/>
        </c:scaling>
        <c:delete val="0"/>
        <c:axPos val="l"/>
        <c:majorGridlines/>
        <c:title>
          <c:tx>
            <c:rich>
              <a:bodyPr rot="-5400000" vert="horz"/>
              <a:lstStyle/>
              <a:p>
                <a:pPr>
                  <a:defRPr sz="1200"/>
                </a:pPr>
                <a:r>
                  <a:rPr lang="en-US" sz="1200"/>
                  <a:t>Minority Carrier Lifetime (seconds)</a:t>
                </a:r>
              </a:p>
            </c:rich>
          </c:tx>
          <c:layout>
            <c:manualLayout>
              <c:xMode val="edge"/>
              <c:yMode val="edge"/>
              <c:x val="3.8090144175614786E-2"/>
              <c:y val="0.13788835539584984"/>
            </c:manualLayout>
          </c:layout>
          <c:overlay val="0"/>
        </c:title>
        <c:numFmt formatCode="0.00E+00" sourceLinked="0"/>
        <c:majorTickMark val="out"/>
        <c:minorTickMark val="none"/>
        <c:tickLblPos val="nextTo"/>
        <c:spPr>
          <a:ln>
            <a:noFill/>
          </a:ln>
        </c:spPr>
        <c:txPr>
          <a:bodyPr/>
          <a:lstStyle/>
          <a:p>
            <a:pPr>
              <a:defRPr b="1"/>
            </a:pPr>
            <a:endParaRPr lang="en-US"/>
          </a:p>
        </c:txPr>
        <c:crossAx val="273801216"/>
        <c:crosses val="autoZero"/>
        <c:crossBetween val="midCat"/>
      </c:valAx>
      <c:spPr>
        <a:ln>
          <a:solidFill>
            <a:sysClr val="windowText" lastClr="000000"/>
          </a:solidFill>
        </a:ln>
      </c:spPr>
    </c:plotArea>
    <c:legend>
      <c:legendPos val="r"/>
      <c:layout>
        <c:manualLayout>
          <c:xMode val="edge"/>
          <c:yMode val="edge"/>
          <c:x val="0.60299169485391568"/>
          <c:y val="0.15382177097091537"/>
          <c:w val="0.27959762005095484"/>
          <c:h val="0.1706503353103502"/>
        </c:manualLayout>
      </c:layout>
      <c:overlay val="1"/>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33" l="0.70000000000000062" r="0.70000000000000062" t="0.750000000000010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US"/>
              <a:t>Raw Voltages</a:t>
            </a:r>
          </a:p>
        </c:rich>
      </c:tx>
      <c:layout>
        <c:manualLayout>
          <c:xMode val="edge"/>
          <c:yMode val="edge"/>
          <c:x val="0.38567596869611082"/>
          <c:y val="4.1811846689895356E-2"/>
        </c:manualLayout>
      </c:layout>
      <c:overlay val="0"/>
      <c:spPr>
        <a:noFill/>
        <a:ln w="25400">
          <a:noFill/>
        </a:ln>
      </c:spPr>
    </c:title>
    <c:autoTitleDeleted val="0"/>
    <c:plotArea>
      <c:layout>
        <c:manualLayout>
          <c:layoutTarget val="inner"/>
          <c:xMode val="edge"/>
          <c:yMode val="edge"/>
          <c:x val="0.19008315600022599"/>
          <c:y val="0.13937282229964618"/>
          <c:w val="0.64187500504425365"/>
          <c:h val="0.63414634146341464"/>
        </c:manualLayout>
      </c:layout>
      <c:scatterChart>
        <c:scatterStyle val="smoothMarker"/>
        <c:varyColors val="0"/>
        <c:ser>
          <c:idx val="1"/>
          <c:order val="1"/>
          <c:tx>
            <c:v>Light voltage</c:v>
          </c:tx>
          <c:spPr>
            <a:ln w="25400">
              <a:solidFill>
                <a:srgbClr val="0000FF"/>
              </a:solidFill>
              <a:prstDash val="solid"/>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Calc!$C$9:$C$133</c:f>
              <c:numCache>
                <c:formatCode>0.0000</c:formatCode>
                <c:ptCount val="125"/>
                <c:pt idx="0">
                  <c:v>0.230797</c:v>
                </c:pt>
                <c:pt idx="1">
                  <c:v>0.34790500000000002</c:v>
                </c:pt>
                <c:pt idx="2">
                  <c:v>0.410744</c:v>
                </c:pt>
                <c:pt idx="3">
                  <c:v>0.40932600000000002</c:v>
                </c:pt>
                <c:pt idx="4">
                  <c:v>0.38180199999999997</c:v>
                </c:pt>
                <c:pt idx="5">
                  <c:v>0.35718699999999998</c:v>
                </c:pt>
                <c:pt idx="6">
                  <c:v>0.33249899999999999</c:v>
                </c:pt>
                <c:pt idx="7">
                  <c:v>0.30996299999999999</c:v>
                </c:pt>
                <c:pt idx="8">
                  <c:v>0.288663</c:v>
                </c:pt>
                <c:pt idx="9">
                  <c:v>0.268293</c:v>
                </c:pt>
                <c:pt idx="10">
                  <c:v>0.24960499999999999</c:v>
                </c:pt>
                <c:pt idx="11">
                  <c:v>0.23241600000000001</c:v>
                </c:pt>
                <c:pt idx="12">
                  <c:v>0.216002</c:v>
                </c:pt>
                <c:pt idx="13">
                  <c:v>0.20157600000000001</c:v>
                </c:pt>
                <c:pt idx="14">
                  <c:v>0.187643</c:v>
                </c:pt>
                <c:pt idx="15">
                  <c:v>0.17460100000000001</c:v>
                </c:pt>
                <c:pt idx="16">
                  <c:v>0.16313800000000001</c:v>
                </c:pt>
                <c:pt idx="17">
                  <c:v>0.15195600000000001</c:v>
                </c:pt>
                <c:pt idx="18">
                  <c:v>0.14188799999999999</c:v>
                </c:pt>
                <c:pt idx="19">
                  <c:v>0.13259299999999999</c:v>
                </c:pt>
                <c:pt idx="20">
                  <c:v>0.12359000000000001</c:v>
                </c:pt>
                <c:pt idx="21">
                  <c:v>0.115971</c:v>
                </c:pt>
                <c:pt idx="22">
                  <c:v>0.108338</c:v>
                </c:pt>
                <c:pt idx="23">
                  <c:v>0.101144</c:v>
                </c:pt>
                <c:pt idx="24">
                  <c:v>9.5122200000000004E-2</c:v>
                </c:pt>
                <c:pt idx="25">
                  <c:v>8.8832599999999998E-2</c:v>
                </c:pt>
                <c:pt idx="26">
                  <c:v>8.3323400000000006E-2</c:v>
                </c:pt>
                <c:pt idx="27">
                  <c:v>7.8243800000000002E-2</c:v>
                </c:pt>
                <c:pt idx="28">
                  <c:v>7.30846E-2</c:v>
                </c:pt>
                <c:pt idx="29">
                  <c:v>6.9025500000000004E-2</c:v>
                </c:pt>
                <c:pt idx="30">
                  <c:v>6.4700300000000002E-2</c:v>
                </c:pt>
                <c:pt idx="31">
                  <c:v>6.04962E-2</c:v>
                </c:pt>
                <c:pt idx="32">
                  <c:v>5.72755E-2</c:v>
                </c:pt>
                <c:pt idx="33">
                  <c:v>5.3618800000000001E-2</c:v>
                </c:pt>
                <c:pt idx="34">
                  <c:v>5.0447400000000003E-2</c:v>
                </c:pt>
                <c:pt idx="35">
                  <c:v>4.7658800000000001E-2</c:v>
                </c:pt>
                <c:pt idx="36">
                  <c:v>4.4464999999999998E-2</c:v>
                </c:pt>
                <c:pt idx="37">
                  <c:v>4.23141E-2</c:v>
                </c:pt>
                <c:pt idx="38">
                  <c:v>3.9700300000000001E-2</c:v>
                </c:pt>
                <c:pt idx="39">
                  <c:v>3.7157799999999998E-2</c:v>
                </c:pt>
                <c:pt idx="40">
                  <c:v>3.5369699999999997E-2</c:v>
                </c:pt>
                <c:pt idx="41">
                  <c:v>3.3139799999999997E-2</c:v>
                </c:pt>
                <c:pt idx="42">
                  <c:v>3.1439599999999998E-2</c:v>
                </c:pt>
                <c:pt idx="43">
                  <c:v>2.9847800000000001E-2</c:v>
                </c:pt>
                <c:pt idx="44">
                  <c:v>2.79142E-2</c:v>
                </c:pt>
                <c:pt idx="45">
                  <c:v>2.67399E-2</c:v>
                </c:pt>
                <c:pt idx="46">
                  <c:v>2.5214500000000001E-2</c:v>
                </c:pt>
                <c:pt idx="47">
                  <c:v>2.3424899999999999E-2</c:v>
                </c:pt>
                <c:pt idx="48">
                  <c:v>2.2516700000000001E-2</c:v>
                </c:pt>
                <c:pt idx="49">
                  <c:v>2.1107000000000001E-2</c:v>
                </c:pt>
                <c:pt idx="50">
                  <c:v>1.9729099999999999E-2</c:v>
                </c:pt>
                <c:pt idx="51">
                  <c:v>1.8978100000000001E-2</c:v>
                </c:pt>
                <c:pt idx="52">
                  <c:v>1.7658299999999998E-2</c:v>
                </c:pt>
                <c:pt idx="53">
                  <c:v>1.7036699999999998E-2</c:v>
                </c:pt>
                <c:pt idx="54">
                  <c:v>1.61437E-2</c:v>
                </c:pt>
                <c:pt idx="55">
                  <c:v>1.49996E-2</c:v>
                </c:pt>
                <c:pt idx="56">
                  <c:v>1.4630499999999999E-2</c:v>
                </c:pt>
                <c:pt idx="57">
                  <c:v>1.37003E-2</c:v>
                </c:pt>
                <c:pt idx="58">
                  <c:v>1.27262E-2</c:v>
                </c:pt>
                <c:pt idx="59">
                  <c:v>1.24098E-2</c:v>
                </c:pt>
                <c:pt idx="60">
                  <c:v>1.1464999999999999E-2</c:v>
                </c:pt>
                <c:pt idx="61">
                  <c:v>1.09581E-2</c:v>
                </c:pt>
                <c:pt idx="62">
                  <c:v>1.04698E-2</c:v>
                </c:pt>
                <c:pt idx="63">
                  <c:v>9.5894599999999993E-3</c:v>
                </c:pt>
                <c:pt idx="64">
                  <c:v>9.5479599999999994E-3</c:v>
                </c:pt>
                <c:pt idx="65">
                  <c:v>8.8995199999999993E-3</c:v>
                </c:pt>
                <c:pt idx="66">
                  <c:v>8.2081199999999993E-3</c:v>
                </c:pt>
                <c:pt idx="67">
                  <c:v>8.2701300000000005E-3</c:v>
                </c:pt>
                <c:pt idx="68">
                  <c:v>7.6744200000000004E-3</c:v>
                </c:pt>
                <c:pt idx="69">
                  <c:v>7.1275499999999999E-3</c:v>
                </c:pt>
                <c:pt idx="70">
                  <c:v>7.0225699999999997E-3</c:v>
                </c:pt>
                <c:pt idx="71">
                  <c:v>6.3843900000000002E-3</c:v>
                </c:pt>
                <c:pt idx="72">
                  <c:v>6.3072400000000004E-3</c:v>
                </c:pt>
                <c:pt idx="73">
                  <c:v>5.9962000000000001E-3</c:v>
                </c:pt>
                <c:pt idx="74">
                  <c:v>5.3941500000000003E-3</c:v>
                </c:pt>
                <c:pt idx="75">
                  <c:v>5.5386799999999998E-3</c:v>
                </c:pt>
                <c:pt idx="76">
                  <c:v>5.1377999999999997E-3</c:v>
                </c:pt>
                <c:pt idx="77">
                  <c:v>4.6993299999999998E-3</c:v>
                </c:pt>
                <c:pt idx="78">
                  <c:v>4.8077299999999996E-3</c:v>
                </c:pt>
                <c:pt idx="79">
                  <c:v>4.1441500000000001E-3</c:v>
                </c:pt>
                <c:pt idx="80">
                  <c:v>4.4034299999999998E-3</c:v>
                </c:pt>
                <c:pt idx="81">
                  <c:v>4.1426900000000001E-3</c:v>
                </c:pt>
                <c:pt idx="82">
                  <c:v>3.63927E-3</c:v>
                </c:pt>
                <c:pt idx="83">
                  <c:v>3.9156399999999997E-3</c:v>
                </c:pt>
                <c:pt idx="84">
                  <c:v>3.5450299999999998E-3</c:v>
                </c:pt>
                <c:pt idx="85">
                  <c:v>3.2134899999999998E-3</c:v>
                </c:pt>
                <c:pt idx="86">
                  <c:v>3.4610499999999998E-3</c:v>
                </c:pt>
                <c:pt idx="87">
                  <c:v>2.9673899999999999E-3</c:v>
                </c:pt>
                <c:pt idx="88">
                  <c:v>3.0821400000000001E-3</c:v>
                </c:pt>
                <c:pt idx="89">
                  <c:v>3.0552800000000001E-3</c:v>
                </c:pt>
                <c:pt idx="90">
                  <c:v>2.3795000000000001E-3</c:v>
                </c:pt>
                <c:pt idx="91">
                  <c:v>2.9478600000000001E-3</c:v>
                </c:pt>
                <c:pt idx="92">
                  <c:v>2.71886E-3</c:v>
                </c:pt>
                <c:pt idx="93">
                  <c:v>2.3174900000000002E-3</c:v>
                </c:pt>
                <c:pt idx="94">
                  <c:v>2.6656399999999999E-3</c:v>
                </c:pt>
                <c:pt idx="95">
                  <c:v>2.19542E-3</c:v>
                </c:pt>
                <c:pt idx="96">
                  <c:v>2.43517E-3</c:v>
                </c:pt>
                <c:pt idx="97">
                  <c:v>2.2862400000000001E-3</c:v>
                </c:pt>
                <c:pt idx="98">
                  <c:v>1.81212E-3</c:v>
                </c:pt>
                <c:pt idx="99">
                  <c:v>2.2022600000000002E-3</c:v>
                </c:pt>
                <c:pt idx="100">
                  <c:v>1.9464E-3</c:v>
                </c:pt>
                <c:pt idx="101">
                  <c:v>1.7457099999999999E-3</c:v>
                </c:pt>
                <c:pt idx="102">
                  <c:v>1.98839E-3</c:v>
                </c:pt>
                <c:pt idx="103">
                  <c:v>1.5455200000000001E-3</c:v>
                </c:pt>
                <c:pt idx="104">
                  <c:v>1.79356E-3</c:v>
                </c:pt>
                <c:pt idx="105">
                  <c:v>1.8048000000000001E-3</c:v>
                </c:pt>
                <c:pt idx="106">
                  <c:v>1.3804799999999999E-3</c:v>
                </c:pt>
                <c:pt idx="107">
                  <c:v>1.81065E-3</c:v>
                </c:pt>
                <c:pt idx="108">
                  <c:v>1.6280400000000001E-3</c:v>
                </c:pt>
                <c:pt idx="109">
                  <c:v>1.3023500000000001E-3</c:v>
                </c:pt>
                <c:pt idx="110">
                  <c:v>1.70079E-3</c:v>
                </c:pt>
                <c:pt idx="111">
                  <c:v>1.338E-3</c:v>
                </c:pt>
                <c:pt idx="112">
                  <c:v>1.56456E-3</c:v>
                </c:pt>
                <c:pt idx="113">
                  <c:v>1.5611399999999999E-3</c:v>
                </c:pt>
                <c:pt idx="114">
                  <c:v>1.1500099999999999E-3</c:v>
                </c:pt>
                <c:pt idx="115">
                  <c:v>1.6177800000000001E-3</c:v>
                </c:pt>
                <c:pt idx="116">
                  <c:v>1.39317E-3</c:v>
                </c:pt>
                <c:pt idx="117">
                  <c:v>1.26085E-3</c:v>
                </c:pt>
                <c:pt idx="118">
                  <c:v>1.5377100000000001E-3</c:v>
                </c:pt>
                <c:pt idx="119">
                  <c:v>1.1817500000000001E-3</c:v>
                </c:pt>
                <c:pt idx="120">
                  <c:v>1.4498099999999999E-3</c:v>
                </c:pt>
                <c:pt idx="121">
                  <c:v>1.40733E-3</c:v>
                </c:pt>
                <c:pt idx="122">
                  <c:v>1.14708E-3</c:v>
                </c:pt>
                <c:pt idx="123">
                  <c:v>1.5835999999999999E-3</c:v>
                </c:pt>
                <c:pt idx="124">
                  <c:v>1.36192E-3</c:v>
                </c:pt>
              </c:numCache>
            </c:numRef>
          </c:yVal>
          <c:smooth val="0"/>
        </c:ser>
        <c:ser>
          <c:idx val="3"/>
          <c:order val="3"/>
          <c:tx>
            <c:v>Ref_Upper</c:v>
          </c:tx>
          <c:spPr>
            <a:ln w="25400">
              <a:solidFill>
                <a:srgbClr val="0000FF"/>
              </a:solidFill>
              <a:prstDash val="sysDash"/>
            </a:ln>
          </c:spPr>
          <c:marker>
            <c:symbol val="none"/>
          </c:marker>
          <c:xVal>
            <c:numRef>
              <c:f>Command!$B$17:$B$18</c:f>
              <c:numCache>
                <c:formatCode>0.00E+00</c:formatCode>
                <c:ptCount val="2"/>
                <c:pt idx="0" formatCode="General">
                  <c:v>0</c:v>
                </c:pt>
                <c:pt idx="1">
                  <c:v>1.24499E-2</c:v>
                </c:pt>
              </c:numCache>
            </c:numRef>
          </c:xVal>
          <c:yVal>
            <c:numRef>
              <c:f>Command!$E$17:$E$18</c:f>
              <c:numCache>
                <c:formatCode>General</c:formatCode>
                <c:ptCount val="2"/>
                <c:pt idx="0">
                  <c:v>0.5</c:v>
                </c:pt>
                <c:pt idx="1">
                  <c:v>0.5</c:v>
                </c:pt>
              </c:numCache>
            </c:numRef>
          </c:yVal>
          <c:smooth val="0"/>
        </c:ser>
        <c:ser>
          <c:idx val="5"/>
          <c:order val="5"/>
          <c:tx>
            <c:v>Ref_Lower</c:v>
          </c:tx>
          <c:spPr>
            <a:ln w="25400">
              <a:solidFill>
                <a:srgbClr val="0000FF"/>
              </a:solidFill>
              <a:prstDash val="sysDash"/>
            </a:ln>
          </c:spPr>
          <c:marker>
            <c:symbol val="none"/>
          </c:marker>
          <c:xVal>
            <c:numRef>
              <c:f>Command!$B$17:$B$18</c:f>
              <c:numCache>
                <c:formatCode>0.00E+00</c:formatCode>
                <c:ptCount val="2"/>
                <c:pt idx="0" formatCode="General">
                  <c:v>0</c:v>
                </c:pt>
                <c:pt idx="1">
                  <c:v>1.24499E-2</c:v>
                </c:pt>
              </c:numCache>
            </c:numRef>
          </c:xVal>
          <c:yVal>
            <c:numRef>
              <c:f>Command!$F$17:$F$18</c:f>
              <c:numCache>
                <c:formatCode>General</c:formatCode>
                <c:ptCount val="2"/>
                <c:pt idx="0">
                  <c:v>0.2</c:v>
                </c:pt>
                <c:pt idx="1">
                  <c:v>0.2</c:v>
                </c:pt>
              </c:numCache>
            </c:numRef>
          </c:yVal>
          <c:smooth val="1"/>
        </c:ser>
        <c:dLbls>
          <c:showLegendKey val="0"/>
          <c:showVal val="0"/>
          <c:showCatName val="0"/>
          <c:showSerName val="0"/>
          <c:showPercent val="0"/>
          <c:showBubbleSize val="0"/>
        </c:dLbls>
        <c:axId val="273993728"/>
        <c:axId val="273995648"/>
      </c:scatterChart>
      <c:scatterChart>
        <c:scatterStyle val="lineMarker"/>
        <c:varyColors val="0"/>
        <c:ser>
          <c:idx val="0"/>
          <c:order val="0"/>
          <c:tx>
            <c:strRef>
              <c:f>Calc!$B$8</c:f>
              <c:strCache>
                <c:ptCount val="1"/>
                <c:pt idx="0">
                  <c:v>Photovoltage</c:v>
                </c:pt>
              </c:strCache>
            </c:strRef>
          </c:tx>
          <c:spPr>
            <a:ln w="25400">
              <a:solidFill>
                <a:srgbClr val="FF0000"/>
              </a:solidFill>
              <a:prstDash val="solid"/>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Calc!$B$9:$B$133</c:f>
              <c:numCache>
                <c:formatCode>0.00E+00</c:formatCode>
                <c:ptCount val="125"/>
                <c:pt idx="0">
                  <c:v>1.29867</c:v>
                </c:pt>
                <c:pt idx="1">
                  <c:v>3.5962399999999999</c:v>
                </c:pt>
                <c:pt idx="2">
                  <c:v>4.7733499999999998</c:v>
                </c:pt>
                <c:pt idx="3">
                  <c:v>5.2317299999999998</c:v>
                </c:pt>
                <c:pt idx="4">
                  <c:v>5.2531600000000003</c:v>
                </c:pt>
                <c:pt idx="5">
                  <c:v>5.13089</c:v>
                </c:pt>
                <c:pt idx="6">
                  <c:v>4.9720800000000001</c:v>
                </c:pt>
                <c:pt idx="7">
                  <c:v>4.8066899999999997</c:v>
                </c:pt>
                <c:pt idx="8">
                  <c:v>4.6413799999999998</c:v>
                </c:pt>
                <c:pt idx="9">
                  <c:v>4.4779799999999996</c:v>
                </c:pt>
                <c:pt idx="10">
                  <c:v>4.3195600000000001</c:v>
                </c:pt>
                <c:pt idx="11">
                  <c:v>4.1661599999999996</c:v>
                </c:pt>
                <c:pt idx="12">
                  <c:v>4.0182200000000003</c:v>
                </c:pt>
                <c:pt idx="13">
                  <c:v>3.8763899999999998</c:v>
                </c:pt>
                <c:pt idx="14">
                  <c:v>3.7397800000000001</c:v>
                </c:pt>
                <c:pt idx="15">
                  <c:v>3.6086999999999998</c:v>
                </c:pt>
                <c:pt idx="16">
                  <c:v>3.4823499999999998</c:v>
                </c:pt>
                <c:pt idx="17">
                  <c:v>3.3605900000000002</c:v>
                </c:pt>
                <c:pt idx="18">
                  <c:v>3.2442799999999998</c:v>
                </c:pt>
                <c:pt idx="19">
                  <c:v>3.1324100000000001</c:v>
                </c:pt>
                <c:pt idx="20">
                  <c:v>3.0256400000000001</c:v>
                </c:pt>
                <c:pt idx="21">
                  <c:v>2.9232800000000001</c:v>
                </c:pt>
                <c:pt idx="22">
                  <c:v>2.8243299999999998</c:v>
                </c:pt>
                <c:pt idx="23">
                  <c:v>2.7293599999999998</c:v>
                </c:pt>
                <c:pt idx="24">
                  <c:v>2.6382500000000002</c:v>
                </c:pt>
                <c:pt idx="25">
                  <c:v>2.5511699999999999</c:v>
                </c:pt>
                <c:pt idx="26">
                  <c:v>2.46726</c:v>
                </c:pt>
                <c:pt idx="27">
                  <c:v>2.3862000000000001</c:v>
                </c:pt>
                <c:pt idx="28">
                  <c:v>2.3086500000000001</c:v>
                </c:pt>
                <c:pt idx="29">
                  <c:v>2.23427</c:v>
                </c:pt>
                <c:pt idx="30">
                  <c:v>2.1623600000000001</c:v>
                </c:pt>
                <c:pt idx="31">
                  <c:v>2.09259</c:v>
                </c:pt>
                <c:pt idx="32">
                  <c:v>2.0257900000000002</c:v>
                </c:pt>
                <c:pt idx="33">
                  <c:v>1.9616199999999999</c:v>
                </c:pt>
                <c:pt idx="34">
                  <c:v>1.8999200000000001</c:v>
                </c:pt>
                <c:pt idx="35">
                  <c:v>1.83958</c:v>
                </c:pt>
                <c:pt idx="36">
                  <c:v>1.7826</c:v>
                </c:pt>
                <c:pt idx="37">
                  <c:v>1.7264900000000001</c:v>
                </c:pt>
                <c:pt idx="38">
                  <c:v>1.67334</c:v>
                </c:pt>
                <c:pt idx="39">
                  <c:v>1.62164</c:v>
                </c:pt>
                <c:pt idx="40">
                  <c:v>1.5709500000000001</c:v>
                </c:pt>
                <c:pt idx="41">
                  <c:v>1.52278</c:v>
                </c:pt>
                <c:pt idx="42">
                  <c:v>1.47559</c:v>
                </c:pt>
                <c:pt idx="43">
                  <c:v>1.43021</c:v>
                </c:pt>
                <c:pt idx="44">
                  <c:v>1.38696</c:v>
                </c:pt>
                <c:pt idx="45">
                  <c:v>1.34453</c:v>
                </c:pt>
                <c:pt idx="46">
                  <c:v>1.30393</c:v>
                </c:pt>
                <c:pt idx="47">
                  <c:v>1.2639199999999999</c:v>
                </c:pt>
                <c:pt idx="48">
                  <c:v>1.2257100000000001</c:v>
                </c:pt>
                <c:pt idx="49">
                  <c:v>1.1886399999999999</c:v>
                </c:pt>
                <c:pt idx="50">
                  <c:v>1.1530800000000001</c:v>
                </c:pt>
                <c:pt idx="51">
                  <c:v>1.11757</c:v>
                </c:pt>
                <c:pt idx="52">
                  <c:v>1.0839399999999999</c:v>
                </c:pt>
                <c:pt idx="53">
                  <c:v>1.0517000000000001</c:v>
                </c:pt>
                <c:pt idx="54">
                  <c:v>1.01989</c:v>
                </c:pt>
                <c:pt idx="55">
                  <c:v>0.98896799999999996</c:v>
                </c:pt>
                <c:pt idx="56">
                  <c:v>0.95838199999999996</c:v>
                </c:pt>
                <c:pt idx="57">
                  <c:v>0.92967100000000003</c:v>
                </c:pt>
                <c:pt idx="58">
                  <c:v>0.90080400000000005</c:v>
                </c:pt>
                <c:pt idx="59">
                  <c:v>0.87327399999999999</c:v>
                </c:pt>
                <c:pt idx="60">
                  <c:v>0.84699500000000005</c:v>
                </c:pt>
                <c:pt idx="61">
                  <c:v>0.82034499999999999</c:v>
                </c:pt>
                <c:pt idx="62">
                  <c:v>0.795686</c:v>
                </c:pt>
                <c:pt idx="63">
                  <c:v>0.77131099999999997</c:v>
                </c:pt>
                <c:pt idx="64">
                  <c:v>0.74737600000000004</c:v>
                </c:pt>
                <c:pt idx="65">
                  <c:v>0.72430000000000005</c:v>
                </c:pt>
                <c:pt idx="66">
                  <c:v>0.70215099999999997</c:v>
                </c:pt>
                <c:pt idx="67">
                  <c:v>0.68033500000000002</c:v>
                </c:pt>
                <c:pt idx="68">
                  <c:v>0.6593</c:v>
                </c:pt>
                <c:pt idx="69">
                  <c:v>0.63888</c:v>
                </c:pt>
                <c:pt idx="70">
                  <c:v>0.61911400000000005</c:v>
                </c:pt>
                <c:pt idx="71">
                  <c:v>0.59970999999999997</c:v>
                </c:pt>
                <c:pt idx="72">
                  <c:v>0.58075500000000002</c:v>
                </c:pt>
                <c:pt idx="73">
                  <c:v>0.562913</c:v>
                </c:pt>
                <c:pt idx="74">
                  <c:v>0.54513999999999996</c:v>
                </c:pt>
                <c:pt idx="75">
                  <c:v>0.52739499999999995</c:v>
                </c:pt>
                <c:pt idx="76">
                  <c:v>0.51105800000000001</c:v>
                </c:pt>
                <c:pt idx="77">
                  <c:v>0.49434899999999998</c:v>
                </c:pt>
                <c:pt idx="78">
                  <c:v>0.47872399999999998</c:v>
                </c:pt>
                <c:pt idx="79">
                  <c:v>0.46304000000000001</c:v>
                </c:pt>
                <c:pt idx="80">
                  <c:v>0.44750299999999998</c:v>
                </c:pt>
                <c:pt idx="81">
                  <c:v>0.43304999999999999</c:v>
                </c:pt>
                <c:pt idx="82">
                  <c:v>0.41922199999999998</c:v>
                </c:pt>
                <c:pt idx="83">
                  <c:v>0.40510099999999999</c:v>
                </c:pt>
                <c:pt idx="84">
                  <c:v>0.39196599999999998</c:v>
                </c:pt>
                <c:pt idx="85">
                  <c:v>0.37808900000000001</c:v>
                </c:pt>
                <c:pt idx="86">
                  <c:v>0.36585200000000001</c:v>
                </c:pt>
                <c:pt idx="87">
                  <c:v>0.35324499999999998</c:v>
                </c:pt>
                <c:pt idx="88">
                  <c:v>0.34091100000000002</c:v>
                </c:pt>
                <c:pt idx="89">
                  <c:v>0.32956299999999999</c:v>
                </c:pt>
                <c:pt idx="90">
                  <c:v>0.31823499999999999</c:v>
                </c:pt>
                <c:pt idx="91">
                  <c:v>0.30714200000000003</c:v>
                </c:pt>
                <c:pt idx="92">
                  <c:v>0.296624</c:v>
                </c:pt>
                <c:pt idx="93">
                  <c:v>0.28634100000000001</c:v>
                </c:pt>
                <c:pt idx="94">
                  <c:v>0.27568599999999999</c:v>
                </c:pt>
                <c:pt idx="95">
                  <c:v>0.26605800000000002</c:v>
                </c:pt>
                <c:pt idx="96">
                  <c:v>0.25697599999999998</c:v>
                </c:pt>
                <c:pt idx="97">
                  <c:v>0.24740500000000001</c:v>
                </c:pt>
                <c:pt idx="98">
                  <c:v>0.23905599999999999</c:v>
                </c:pt>
                <c:pt idx="99">
                  <c:v>0.230267</c:v>
                </c:pt>
                <c:pt idx="100">
                  <c:v>0.22203400000000001</c:v>
                </c:pt>
                <c:pt idx="101">
                  <c:v>0.21428</c:v>
                </c:pt>
                <c:pt idx="102">
                  <c:v>0.206175</c:v>
                </c:pt>
                <c:pt idx="103">
                  <c:v>0.19889899999999999</c:v>
                </c:pt>
                <c:pt idx="104">
                  <c:v>0.19214200000000001</c:v>
                </c:pt>
                <c:pt idx="105">
                  <c:v>0.18549099999999999</c:v>
                </c:pt>
                <c:pt idx="106">
                  <c:v>0.179173</c:v>
                </c:pt>
                <c:pt idx="107">
                  <c:v>0.17263999999999999</c:v>
                </c:pt>
                <c:pt idx="108">
                  <c:v>0.16645799999999999</c:v>
                </c:pt>
                <c:pt idx="109">
                  <c:v>0.16117500000000001</c:v>
                </c:pt>
                <c:pt idx="110">
                  <c:v>0.155306</c:v>
                </c:pt>
                <c:pt idx="111">
                  <c:v>0.15004200000000001</c:v>
                </c:pt>
                <c:pt idx="112">
                  <c:v>0.14480799999999999</c:v>
                </c:pt>
                <c:pt idx="113">
                  <c:v>0.140852</c:v>
                </c:pt>
                <c:pt idx="114">
                  <c:v>0.13636000000000001</c:v>
                </c:pt>
                <c:pt idx="115">
                  <c:v>0.131302</c:v>
                </c:pt>
                <c:pt idx="116">
                  <c:v>0.127688</c:v>
                </c:pt>
                <c:pt idx="117">
                  <c:v>0.123782</c:v>
                </c:pt>
                <c:pt idx="118">
                  <c:v>0.11988600000000001</c:v>
                </c:pt>
                <c:pt idx="119">
                  <c:v>0.11595999999999999</c:v>
                </c:pt>
                <c:pt idx="120">
                  <c:v>0.113304</c:v>
                </c:pt>
                <c:pt idx="121">
                  <c:v>0.109651</c:v>
                </c:pt>
                <c:pt idx="122">
                  <c:v>0.106751</c:v>
                </c:pt>
                <c:pt idx="123">
                  <c:v>0.10359699999999999</c:v>
                </c:pt>
                <c:pt idx="124">
                  <c:v>0.100882</c:v>
                </c:pt>
              </c:numCache>
            </c:numRef>
          </c:yVal>
          <c:smooth val="1"/>
        </c:ser>
        <c:ser>
          <c:idx val="2"/>
          <c:order val="2"/>
          <c:tx>
            <c:v>PC_Upper</c:v>
          </c:tx>
          <c:spPr>
            <a:ln w="25400">
              <a:solidFill>
                <a:srgbClr val="FF0000"/>
              </a:solidFill>
              <a:prstDash val="lgDash"/>
            </a:ln>
          </c:spPr>
          <c:marker>
            <c:symbol val="none"/>
          </c:marker>
          <c:xVal>
            <c:numRef>
              <c:f>Command!$B$17:$B$18</c:f>
              <c:numCache>
                <c:formatCode>0.00E+00</c:formatCode>
                <c:ptCount val="2"/>
                <c:pt idx="0" formatCode="General">
                  <c:v>0</c:v>
                </c:pt>
                <c:pt idx="1">
                  <c:v>1.24499E-2</c:v>
                </c:pt>
              </c:numCache>
            </c:numRef>
          </c:xVal>
          <c:yVal>
            <c:numRef>
              <c:f>Command!$C$17:$C$18</c:f>
              <c:numCache>
                <c:formatCode>General</c:formatCode>
                <c:ptCount val="2"/>
                <c:pt idx="0">
                  <c:v>10</c:v>
                </c:pt>
                <c:pt idx="1">
                  <c:v>10</c:v>
                </c:pt>
              </c:numCache>
            </c:numRef>
          </c:yVal>
          <c:smooth val="1"/>
        </c:ser>
        <c:ser>
          <c:idx val="4"/>
          <c:order val="4"/>
          <c:tx>
            <c:v>PC_Lower</c:v>
          </c:tx>
          <c:spPr>
            <a:ln w="25400">
              <a:solidFill>
                <a:srgbClr val="FF0000"/>
              </a:solidFill>
              <a:prstDash val="lgDash"/>
            </a:ln>
          </c:spPr>
          <c:marker>
            <c:symbol val="none"/>
          </c:marker>
          <c:xVal>
            <c:numRef>
              <c:f>Command!$B$17:$B$18</c:f>
              <c:numCache>
                <c:formatCode>0.00E+00</c:formatCode>
                <c:ptCount val="2"/>
                <c:pt idx="0" formatCode="General">
                  <c:v>0</c:v>
                </c:pt>
                <c:pt idx="1">
                  <c:v>1.24499E-2</c:v>
                </c:pt>
              </c:numCache>
            </c:numRef>
          </c:xVal>
          <c:yVal>
            <c:numRef>
              <c:f>Command!$D$17:$D$18</c:f>
              <c:numCache>
                <c:formatCode>General</c:formatCode>
                <c:ptCount val="2"/>
                <c:pt idx="0">
                  <c:v>4</c:v>
                </c:pt>
                <c:pt idx="1">
                  <c:v>4</c:v>
                </c:pt>
              </c:numCache>
            </c:numRef>
          </c:yVal>
          <c:smooth val="0"/>
        </c:ser>
        <c:dLbls>
          <c:showLegendKey val="0"/>
          <c:showVal val="0"/>
          <c:showCatName val="0"/>
          <c:showSerName val="0"/>
          <c:showPercent val="0"/>
          <c:showBubbleSize val="0"/>
        </c:dLbls>
        <c:axId val="274026496"/>
        <c:axId val="274028032"/>
      </c:scatterChart>
      <c:valAx>
        <c:axId val="273993728"/>
        <c:scaling>
          <c:orientation val="minMax"/>
        </c:scaling>
        <c:delete val="0"/>
        <c:axPos val="b"/>
        <c:majorGridlines>
          <c:spPr>
            <a:ln w="3175">
              <a:solidFill>
                <a:srgbClr val="80808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Time (s)</a:t>
                </a:r>
              </a:p>
            </c:rich>
          </c:tx>
          <c:layout>
            <c:manualLayout>
              <c:xMode val="edge"/>
              <c:yMode val="edge"/>
              <c:x val="0.44077253565269792"/>
              <c:y val="0.86759581881533165"/>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1" i="0" u="none" strike="noStrike" baseline="0">
                <a:solidFill>
                  <a:srgbClr val="000000"/>
                </a:solidFill>
                <a:latin typeface="Arial"/>
                <a:ea typeface="Arial"/>
                <a:cs typeface="Arial"/>
              </a:defRPr>
            </a:pPr>
            <a:endParaRPr lang="en-US"/>
          </a:p>
        </c:txPr>
        <c:crossAx val="273995648"/>
        <c:crosses val="autoZero"/>
        <c:crossBetween val="midCat"/>
      </c:valAx>
      <c:valAx>
        <c:axId val="273995648"/>
        <c:scaling>
          <c:orientation val="minMax"/>
          <c:max val="0.52500000000000002"/>
          <c:min val="0"/>
        </c:scaling>
        <c:delete val="0"/>
        <c:axPos val="l"/>
        <c:majorGridlines>
          <c:spPr>
            <a:ln w="3175">
              <a:solidFill>
                <a:srgbClr val="808080"/>
              </a:solidFill>
              <a:prstDash val="solid"/>
            </a:ln>
          </c:spPr>
        </c:majorGridlines>
        <c:title>
          <c:tx>
            <c:rich>
              <a:bodyPr/>
              <a:lstStyle/>
              <a:p>
                <a:pPr>
                  <a:defRPr sz="975" b="1" i="0" u="none" strike="noStrike" baseline="0">
                    <a:solidFill>
                      <a:srgbClr val="0000FF"/>
                    </a:solidFill>
                    <a:latin typeface="Arial"/>
                    <a:ea typeface="Arial"/>
                    <a:cs typeface="Arial"/>
                  </a:defRPr>
                </a:pPr>
                <a:r>
                  <a:rPr lang="en-US"/>
                  <a:t>light intensity (V)</a:t>
                </a:r>
              </a:p>
            </c:rich>
          </c:tx>
          <c:layout>
            <c:manualLayout>
              <c:xMode val="edge"/>
              <c:yMode val="edge"/>
              <c:x val="2.479345513046426E-2"/>
              <c:y val="0.26480836236935079"/>
            </c:manualLayout>
          </c:layout>
          <c:overlay val="0"/>
          <c:spPr>
            <a:noFill/>
            <a:ln w="25400">
              <a:noFill/>
            </a:ln>
          </c:spPr>
        </c:title>
        <c:numFmt formatCode="General" sourceLinked="0"/>
        <c:majorTickMark val="out"/>
        <c:minorTickMark val="none"/>
        <c:tickLblPos val="nextTo"/>
        <c:spPr>
          <a:ln w="3175">
            <a:solidFill>
              <a:srgbClr val="0000FF"/>
            </a:solidFill>
            <a:prstDash val="solid"/>
          </a:ln>
        </c:spPr>
        <c:txPr>
          <a:bodyPr rot="0" vert="horz"/>
          <a:lstStyle/>
          <a:p>
            <a:pPr>
              <a:defRPr sz="800" b="1" i="0" u="none" strike="noStrike" baseline="0">
                <a:solidFill>
                  <a:srgbClr val="0000FF"/>
                </a:solidFill>
                <a:latin typeface="Arial"/>
                <a:ea typeface="Arial"/>
                <a:cs typeface="Arial"/>
              </a:defRPr>
            </a:pPr>
            <a:endParaRPr lang="en-US"/>
          </a:p>
        </c:txPr>
        <c:crossAx val="273993728"/>
        <c:crosses val="autoZero"/>
        <c:crossBetween val="midCat"/>
      </c:valAx>
      <c:valAx>
        <c:axId val="274026496"/>
        <c:scaling>
          <c:orientation val="minMax"/>
        </c:scaling>
        <c:delete val="1"/>
        <c:axPos val="b"/>
        <c:numFmt formatCode="0.00E+00" sourceLinked="1"/>
        <c:majorTickMark val="out"/>
        <c:minorTickMark val="none"/>
        <c:tickLblPos val="none"/>
        <c:crossAx val="274028032"/>
        <c:crosses val="autoZero"/>
        <c:crossBetween val="midCat"/>
      </c:valAx>
      <c:valAx>
        <c:axId val="274028032"/>
        <c:scaling>
          <c:orientation val="minMax"/>
          <c:max val="10.5"/>
          <c:min val="0"/>
        </c:scaling>
        <c:delete val="0"/>
        <c:axPos val="r"/>
        <c:title>
          <c:tx>
            <c:rich>
              <a:bodyPr/>
              <a:lstStyle/>
              <a:p>
                <a:pPr>
                  <a:defRPr sz="975" b="1" i="0" u="none" strike="noStrike" baseline="0">
                    <a:solidFill>
                      <a:srgbClr val="FF0000"/>
                    </a:solidFill>
                    <a:latin typeface="Arial"/>
                    <a:ea typeface="Arial"/>
                    <a:cs typeface="Arial"/>
                  </a:defRPr>
                </a:pPr>
                <a:r>
                  <a:rPr lang="en-US"/>
                  <a:t>photoconductance (V)</a:t>
                </a:r>
              </a:p>
            </c:rich>
          </c:tx>
          <c:layout>
            <c:manualLayout>
              <c:xMode val="edge"/>
              <c:yMode val="edge"/>
              <c:x val="0.91735783982717767"/>
              <c:y val="0.20905923344948274"/>
            </c:manualLayout>
          </c:layout>
          <c:overlay val="0"/>
          <c:spPr>
            <a:noFill/>
            <a:ln w="25400">
              <a:noFill/>
            </a:ln>
          </c:spPr>
        </c:title>
        <c:numFmt formatCode="General" sourceLinked="0"/>
        <c:majorTickMark val="cross"/>
        <c:minorTickMark val="none"/>
        <c:tickLblPos val="nextTo"/>
        <c:spPr>
          <a:ln w="3175">
            <a:solidFill>
              <a:srgbClr val="FF0000"/>
            </a:solidFill>
            <a:prstDash val="solid"/>
          </a:ln>
        </c:spPr>
        <c:txPr>
          <a:bodyPr rot="0" vert="horz"/>
          <a:lstStyle/>
          <a:p>
            <a:pPr>
              <a:defRPr sz="800" b="1" i="0" u="none" strike="noStrike" baseline="0">
                <a:solidFill>
                  <a:srgbClr val="FF0000"/>
                </a:solidFill>
                <a:latin typeface="Arial"/>
                <a:ea typeface="Arial"/>
                <a:cs typeface="Arial"/>
              </a:defRPr>
            </a:pPr>
            <a:endParaRPr lang="en-US"/>
          </a:p>
        </c:txPr>
        <c:crossAx val="274026496"/>
        <c:crosses val="max"/>
        <c:crossBetween val="midCat"/>
      </c:valAx>
      <c:spPr>
        <a:solidFill>
          <a:srgbClr val="FFFFFF"/>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700" b="0" i="0" u="none" strike="noStrike" baseline="0">
          <a:solidFill>
            <a:srgbClr val="000000"/>
          </a:solidFill>
          <a:latin typeface="Arial"/>
          <a:ea typeface="Arial"/>
          <a:cs typeface="Arial"/>
        </a:defRPr>
      </a:pPr>
      <a:endParaRPr lang="en-US"/>
    </a:p>
  </c:txPr>
  <c:printSettings>
    <c:headerFooter alignWithMargins="0"/>
    <c:pageMargins b="1" l="0.75000000000001288" r="0.75000000000001288"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246266628290124"/>
          <c:y val="8.0597797266354215E-2"/>
          <c:w val="0.61100955958469816"/>
          <c:h val="0.6961432236666657"/>
        </c:manualLayout>
      </c:layout>
      <c:scatterChart>
        <c:scatterStyle val="smoothMarker"/>
        <c:varyColors val="0"/>
        <c:ser>
          <c:idx val="0"/>
          <c:order val="0"/>
          <c:tx>
            <c:v>Light Intensity (suns)</c:v>
          </c:tx>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Calc!$E$9:$E$133</c:f>
              <c:numCache>
                <c:formatCode>0.00</c:formatCode>
                <c:ptCount val="125"/>
                <c:pt idx="0">
                  <c:v>27.441046134547296</c:v>
                </c:pt>
                <c:pt idx="1">
                  <c:v>41.364823439818011</c:v>
                </c:pt>
                <c:pt idx="2">
                  <c:v>48.836185277488418</c:v>
                </c:pt>
                <c:pt idx="3">
                  <c:v>48.667589483700858</c:v>
                </c:pt>
                <c:pt idx="4">
                  <c:v>45.395071410210818</c:v>
                </c:pt>
                <c:pt idx="5">
                  <c:v>42.468424397459863</c:v>
                </c:pt>
                <c:pt idx="6">
                  <c:v>39.533097911544957</c:v>
                </c:pt>
                <c:pt idx="7">
                  <c:v>36.853637538627815</c:v>
                </c:pt>
                <c:pt idx="8">
                  <c:v>34.32113372503467</c:v>
                </c:pt>
                <c:pt idx="9">
                  <c:v>31.899204021612491</c:v>
                </c:pt>
                <c:pt idx="10">
                  <c:v>29.677258891639308</c:v>
                </c:pt>
                <c:pt idx="11">
                  <c:v>27.633540203758908</c:v>
                </c:pt>
                <c:pt idx="12">
                  <c:v>25.681966607687642</c:v>
                </c:pt>
                <c:pt idx="13">
                  <c:v>23.966760034218407</c:v>
                </c:pt>
                <c:pt idx="14">
                  <c:v>22.310169628829051</c:v>
                </c:pt>
                <c:pt idx="15">
                  <c:v>20.759516354797039</c:v>
                </c:pt>
                <c:pt idx="16">
                  <c:v>19.396601274270363</c:v>
                </c:pt>
                <c:pt idx="17">
                  <c:v>18.067096220580289</c:v>
                </c:pt>
                <c:pt idx="18">
                  <c:v>16.870042305310061</c:v>
                </c:pt>
                <c:pt idx="19">
                  <c:v>15.764895688063664</c:v>
                </c:pt>
                <c:pt idx="20">
                  <c:v>14.694466963473097</c:v>
                </c:pt>
                <c:pt idx="21">
                  <c:v>13.788591538319755</c:v>
                </c:pt>
                <c:pt idx="22">
                  <c:v>12.881051556669217</c:v>
                </c:pt>
                <c:pt idx="23">
                  <c:v>12.025707310895079</c:v>
                </c:pt>
                <c:pt idx="24">
                  <c:v>11.309734002693427</c:v>
                </c:pt>
                <c:pt idx="25">
                  <c:v>10.56192010663824</c:v>
                </c:pt>
                <c:pt idx="26">
                  <c:v>9.9068933456125432</c:v>
                </c:pt>
                <c:pt idx="27">
                  <c:v>9.3029446896722732</c:v>
                </c:pt>
                <c:pt idx="28">
                  <c:v>8.6895318410765103</c:v>
                </c:pt>
                <c:pt idx="29">
                  <c:v>8.2069174640926636</c:v>
                </c:pt>
                <c:pt idx="30">
                  <c:v>7.6926646239728003</c:v>
                </c:pt>
                <c:pt idx="31">
                  <c:v>7.1928101975536949</c:v>
                </c:pt>
                <c:pt idx="32">
                  <c:v>6.8098789753734392</c:v>
                </c:pt>
                <c:pt idx="33">
                  <c:v>6.3751087079947508</c:v>
                </c:pt>
                <c:pt idx="34">
                  <c:v>5.9980391026224833</c:v>
                </c:pt>
                <c:pt idx="35">
                  <c:v>5.666483227759298</c:v>
                </c:pt>
                <c:pt idx="36">
                  <c:v>5.2867503319915139</c:v>
                </c:pt>
                <c:pt idx="37">
                  <c:v>5.0310150055756697</c:v>
                </c:pt>
                <c:pt idx="38">
                  <c:v>4.7202423075489195</c:v>
                </c:pt>
                <c:pt idx="39">
                  <c:v>4.4179469579686108</c:v>
                </c:pt>
                <c:pt idx="40">
                  <c:v>4.2053474242087088</c:v>
                </c:pt>
                <c:pt idx="41">
                  <c:v>3.9402192432729644</c:v>
                </c:pt>
                <c:pt idx="42">
                  <c:v>3.7380707463776095</c:v>
                </c:pt>
                <c:pt idx="43">
                  <c:v>3.5488106726462685</c:v>
                </c:pt>
                <c:pt idx="44">
                  <c:v>3.3189116410047799</c:v>
                </c:pt>
                <c:pt idx="45">
                  <c:v>3.1792910199577173</c:v>
                </c:pt>
                <c:pt idx="46">
                  <c:v>2.9979256998987975</c:v>
                </c:pt>
                <c:pt idx="47">
                  <c:v>2.7851478207999105</c:v>
                </c:pt>
                <c:pt idx="48">
                  <c:v>2.6771656628888638</c:v>
                </c:pt>
                <c:pt idx="49">
                  <c:v>2.5095567133103542</c:v>
                </c:pt>
                <c:pt idx="50">
                  <c:v>2.3457286849183352</c:v>
                </c:pt>
                <c:pt idx="51">
                  <c:v>2.2564371185329621</c:v>
                </c:pt>
                <c:pt idx="52">
                  <c:v>2.0995169996043122</c:v>
                </c:pt>
                <c:pt idx="53">
                  <c:v>2.0256106911287488</c:v>
                </c:pt>
                <c:pt idx="54">
                  <c:v>1.9194357659860881</c:v>
                </c:pt>
                <c:pt idx="55">
                  <c:v>1.7834058310972656</c:v>
                </c:pt>
                <c:pt idx="56">
                  <c:v>1.7395209880175835</c:v>
                </c:pt>
                <c:pt idx="57">
                  <c:v>1.6289230984680838</c:v>
                </c:pt>
                <c:pt idx="58">
                  <c:v>1.5131056353309436</c:v>
                </c:pt>
                <c:pt idx="59">
                  <c:v>1.475486658494283</c:v>
                </c:pt>
                <c:pt idx="60">
                  <c:v>1.3631528743119916</c:v>
                </c:pt>
                <c:pt idx="61">
                  <c:v>1.3028840394241812</c:v>
                </c:pt>
                <c:pt idx="62">
                  <c:v>1.2448266867397899</c:v>
                </c:pt>
                <c:pt idx="63">
                  <c:v>1.1401569962581659</c:v>
                </c:pt>
                <c:pt idx="64">
                  <c:v>1.1352227752129023</c:v>
                </c:pt>
                <c:pt idx="65">
                  <c:v>1.0581252741384262</c:v>
                </c:pt>
                <c:pt idx="66">
                  <c:v>0.97591996255540725</c:v>
                </c:pt>
                <c:pt idx="67">
                  <c:v>0.9832927588690652</c:v>
                </c:pt>
                <c:pt idx="68">
                  <c:v>0.91246469094439042</c:v>
                </c:pt>
                <c:pt idx="69">
                  <c:v>0.84744354725708126</c:v>
                </c:pt>
                <c:pt idx="70">
                  <c:v>0.83496175146595408</c:v>
                </c:pt>
                <c:pt idx="71">
                  <c:v>0.7590841325101384</c:v>
                </c:pt>
                <c:pt idx="72">
                  <c:v>0.74991123724165432</c:v>
                </c:pt>
                <c:pt idx="73">
                  <c:v>0.71292954774963491</c:v>
                </c:pt>
                <c:pt idx="74">
                  <c:v>0.64134767352551514</c:v>
                </c:pt>
                <c:pt idx="75">
                  <c:v>0.65853184142122478</c:v>
                </c:pt>
                <c:pt idx="76">
                  <c:v>0.61086845509290455</c:v>
                </c:pt>
                <c:pt idx="77">
                  <c:v>0.55873573456960934</c:v>
                </c:pt>
                <c:pt idx="78">
                  <c:v>0.57162415773362329</c:v>
                </c:pt>
                <c:pt idx="79">
                  <c:v>0.492726557704321</c:v>
                </c:pt>
                <c:pt idx="80">
                  <c:v>0.52355414403241629</c:v>
                </c:pt>
                <c:pt idx="81">
                  <c:v>0.49255296824104189</c:v>
                </c:pt>
                <c:pt idx="82">
                  <c:v>0.43269789453967744</c:v>
                </c:pt>
                <c:pt idx="83">
                  <c:v>0.46555742876328016</c:v>
                </c:pt>
                <c:pt idx="84">
                  <c:v>0.42149305137568599</c:v>
                </c:pt>
                <c:pt idx="85">
                  <c:v>0.38207397558419903</c:v>
                </c:pt>
                <c:pt idx="86">
                  <c:v>0.41150809033035485</c:v>
                </c:pt>
                <c:pt idx="87">
                  <c:v>0.35281345030132238</c:v>
                </c:pt>
                <c:pt idx="88">
                  <c:v>0.36645686873370803</c:v>
                </c:pt>
                <c:pt idx="89">
                  <c:v>0.3632632981969422</c:v>
                </c:pt>
                <c:pt idx="90">
                  <c:v>0.28291515607722501</c:v>
                </c:pt>
                <c:pt idx="91">
                  <c:v>0.35049139398773205</c:v>
                </c:pt>
                <c:pt idx="92">
                  <c:v>0.3232640055692893</c:v>
                </c:pt>
                <c:pt idx="93">
                  <c:v>0.27554235976356717</c:v>
                </c:pt>
                <c:pt idx="94">
                  <c:v>0.31693631294208613</c:v>
                </c:pt>
                <c:pt idx="95">
                  <c:v>0.26102861607693267</c:v>
                </c:pt>
                <c:pt idx="96">
                  <c:v>0.28953414609143768</c:v>
                </c:pt>
                <c:pt idx="97">
                  <c:v>0.27182683186803736</c:v>
                </c:pt>
                <c:pt idx="98">
                  <c:v>0.21545543712152171</c:v>
                </c:pt>
                <c:pt idx="99">
                  <c:v>0.26184187082270627</c:v>
                </c:pt>
                <c:pt idx="100">
                  <c:v>0.23142091186749766</c:v>
                </c:pt>
                <c:pt idx="101">
                  <c:v>0.2075594944801733</c:v>
                </c:pt>
                <c:pt idx="102">
                  <c:v>0.23641339239016321</c:v>
                </c:pt>
                <c:pt idx="103">
                  <c:v>0.18375752553917746</c:v>
                </c:pt>
                <c:pt idx="104">
                  <c:v>0.21324871079380864</c:v>
                </c:pt>
                <c:pt idx="105">
                  <c:v>0.2145851118672728</c:v>
                </c:pt>
                <c:pt idx="106">
                  <c:v>0.16413478237507353</c:v>
                </c:pt>
                <c:pt idx="107">
                  <c:v>0.21528065868931598</c:v>
                </c:pt>
                <c:pt idx="108">
                  <c:v>0.19356889712122941</c:v>
                </c:pt>
                <c:pt idx="109">
                  <c:v>0.15484536815178565</c:v>
                </c:pt>
                <c:pt idx="110">
                  <c:v>0.20221864606202289</c:v>
                </c:pt>
                <c:pt idx="111">
                  <c:v>0.15908404237500609</c:v>
                </c:pt>
                <c:pt idx="112">
                  <c:v>0.18602132237536587</c:v>
                </c:pt>
                <c:pt idx="113">
                  <c:v>0.18561469500247907</c:v>
                </c:pt>
                <c:pt idx="114">
                  <c:v>0.13673261552442506</c:v>
                </c:pt>
                <c:pt idx="115">
                  <c:v>0.19234901500256904</c:v>
                </c:pt>
                <c:pt idx="116">
                  <c:v>0.1656435839428903</c:v>
                </c:pt>
                <c:pt idx="117">
                  <c:v>0.14991114710652201</c:v>
                </c:pt>
                <c:pt idx="118">
                  <c:v>0.18282894080752662</c:v>
                </c:pt>
                <c:pt idx="119">
                  <c:v>0.14050640289735686</c:v>
                </c:pt>
                <c:pt idx="120">
                  <c:v>0.17237790394298025</c:v>
                </c:pt>
                <c:pt idx="121">
                  <c:v>0.1673271639429128</c:v>
                </c:pt>
                <c:pt idx="122">
                  <c:v>0.13638424762894019</c:v>
                </c:pt>
                <c:pt idx="123">
                  <c:v>0.18828511921155427</c:v>
                </c:pt>
                <c:pt idx="124">
                  <c:v>0.16192805604736046</c:v>
                </c:pt>
              </c:numCache>
            </c:numRef>
          </c:yVal>
          <c:smooth val="1"/>
        </c:ser>
        <c:dLbls>
          <c:showLegendKey val="0"/>
          <c:showVal val="0"/>
          <c:showCatName val="0"/>
          <c:showSerName val="0"/>
          <c:showPercent val="0"/>
          <c:showBubbleSize val="0"/>
        </c:dLbls>
        <c:axId val="274953344"/>
        <c:axId val="274955264"/>
      </c:scatterChart>
      <c:scatterChart>
        <c:scatterStyle val="smoothMarker"/>
        <c:varyColors val="0"/>
        <c:ser>
          <c:idx val="1"/>
          <c:order val="1"/>
          <c:tx>
            <c:v>Photoconductance (Siemens)</c:v>
          </c:tx>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Calc!$H$9:$H$133</c:f>
              <c:numCache>
                <c:formatCode>0.000E+00</c:formatCode>
                <c:ptCount val="125"/>
                <c:pt idx="0">
                  <c:v>3.631157163166638E-2</c:v>
                </c:pt>
                <c:pt idx="1">
                  <c:v>0.10219379497665754</c:v>
                </c:pt>
                <c:pt idx="2">
                  <c:v>0.13675934401555767</c:v>
                </c:pt>
                <c:pt idx="3">
                  <c:v>0.15036843508435052</c:v>
                </c:pt>
                <c:pt idx="4">
                  <c:v>0.15100672382148003</c:v>
                </c:pt>
                <c:pt idx="5">
                  <c:v>0.14736738211087066</c:v>
                </c:pt>
                <c:pt idx="6">
                  <c:v>0.14264929918708757</c:v>
                </c:pt>
                <c:pt idx="7">
                  <c:v>0.13774637915552032</c:v>
                </c:pt>
                <c:pt idx="8">
                  <c:v>0.13285668689573343</c:v>
                </c:pt>
                <c:pt idx="9">
                  <c:v>0.12803415658264358</c:v>
                </c:pt>
                <c:pt idx="10">
                  <c:v>0.12336872860670454</c:v>
                </c:pt>
                <c:pt idx="11">
                  <c:v>0.11886063724576322</c:v>
                </c:pt>
                <c:pt idx="12">
                  <c:v>0.1145218563047771</c:v>
                </c:pt>
                <c:pt idx="13">
                  <c:v>0.11037043073304528</c:v>
                </c:pt>
                <c:pt idx="14">
                  <c:v>0.10637935050735418</c:v>
                </c:pt>
                <c:pt idx="15">
                  <c:v>0.10255679808586146</c:v>
                </c:pt>
                <c:pt idx="16">
                  <c:v>9.887864103788202E-2</c:v>
                </c:pt>
                <c:pt idx="17">
                  <c:v>9.534010203652038E-2</c:v>
                </c:pt>
                <c:pt idx="18">
                  <c:v>9.1965447472552128E-2</c:v>
                </c:pt>
                <c:pt idx="19">
                  <c:v>8.8724685610080678E-2</c:v>
                </c:pt>
                <c:pt idx="20">
                  <c:v>8.5636301427624739E-2</c:v>
                </c:pt>
                <c:pt idx="21">
                  <c:v>8.2679730054999304E-2</c:v>
                </c:pt>
                <c:pt idx="22">
                  <c:v>7.9825609015886992E-2</c:v>
                </c:pt>
                <c:pt idx="23">
                  <c:v>7.7089944630074375E-2</c:v>
                </c:pt>
                <c:pt idx="24">
                  <c:v>7.4468836466691501E-2</c:v>
                </c:pt>
                <c:pt idx="25">
                  <c:v>7.1966747194553024E-2</c:v>
                </c:pt>
                <c:pt idx="26">
                  <c:v>6.9558591487573027E-2</c:v>
                </c:pt>
                <c:pt idx="27">
                  <c:v>6.7234884259563477E-2</c:v>
                </c:pt>
                <c:pt idx="28">
                  <c:v>6.501423910487493E-2</c:v>
                </c:pt>
                <c:pt idx="29">
                  <c:v>6.2886611048427382E-2</c:v>
                </c:pt>
                <c:pt idx="30">
                  <c:v>6.0831725997560343E-2</c:v>
                </c:pt>
                <c:pt idx="31">
                  <c:v>5.8839956144487747E-2</c:v>
                </c:pt>
                <c:pt idx="32">
                  <c:v>5.6934784484175313E-2</c:v>
                </c:pt>
                <c:pt idx="33">
                  <c:v>5.5106290797891096E-2</c:v>
                </c:pt>
                <c:pt idx="34">
                  <c:v>5.3349720829390129E-2</c:v>
                </c:pt>
                <c:pt idx="35">
                  <c:v>5.1633331773829526E-2</c:v>
                </c:pt>
                <c:pt idx="36">
                  <c:v>5.0013846421168302E-2</c:v>
                </c:pt>
                <c:pt idx="37">
                  <c:v>4.8420348317336818E-2</c:v>
                </c:pt>
                <c:pt idx="38">
                  <c:v>4.6912066059351935E-2</c:v>
                </c:pt>
                <c:pt idx="39">
                  <c:v>4.5446008145321119E-2</c:v>
                </c:pt>
                <c:pt idx="40">
                  <c:v>4.4009621502662875E-2</c:v>
                </c:pt>
                <c:pt idx="41">
                  <c:v>4.2645588985219918E-2</c:v>
                </c:pt>
                <c:pt idx="42">
                  <c:v>4.1310200817718572E-2</c:v>
                </c:pt>
                <c:pt idx="43">
                  <c:v>4.0026866460748788E-2</c:v>
                </c:pt>
                <c:pt idx="44">
                  <c:v>3.8804529160871092E-2</c:v>
                </c:pt>
                <c:pt idx="45">
                  <c:v>3.7606088744402702E-2</c:v>
                </c:pt>
                <c:pt idx="46">
                  <c:v>3.6460006327334378E-2</c:v>
                </c:pt>
                <c:pt idx="47">
                  <c:v>3.5331219277479516E-2</c:v>
                </c:pt>
                <c:pt idx="48">
                  <c:v>3.4253808474878772E-2</c:v>
                </c:pt>
                <c:pt idx="49">
                  <c:v>3.3209096529612903E-2</c:v>
                </c:pt>
                <c:pt idx="50">
                  <c:v>3.2207452504296082E-2</c:v>
                </c:pt>
                <c:pt idx="51">
                  <c:v>3.1207718030911758E-2</c:v>
                </c:pt>
                <c:pt idx="52">
                  <c:v>3.0261374076433829E-2</c:v>
                </c:pt>
                <c:pt idx="53">
                  <c:v>2.9354566269559314E-2</c:v>
                </c:pt>
                <c:pt idx="54">
                  <c:v>2.8460257585170724E-2</c:v>
                </c:pt>
                <c:pt idx="55">
                  <c:v>2.7591299411624484E-2</c:v>
                </c:pt>
                <c:pt idx="56">
                  <c:v>2.673215697429342E-2</c:v>
                </c:pt>
                <c:pt idx="57">
                  <c:v>2.5926020249815097E-2</c:v>
                </c:pt>
                <c:pt idx="58">
                  <c:v>2.5115833483260921E-2</c:v>
                </c:pt>
                <c:pt idx="59">
                  <c:v>2.4343479539191918E-2</c:v>
                </c:pt>
                <c:pt idx="60">
                  <c:v>2.360650319808796E-2</c:v>
                </c:pt>
                <c:pt idx="61">
                  <c:v>2.2859402533613158E-2</c:v>
                </c:pt>
                <c:pt idx="62">
                  <c:v>2.2168368411459378E-2</c:v>
                </c:pt>
                <c:pt idx="63">
                  <c:v>2.1485530342231017E-2</c:v>
                </c:pt>
                <c:pt idx="64">
                  <c:v>2.0815247998456469E-2</c:v>
                </c:pt>
                <c:pt idx="65">
                  <c:v>2.0169236756945434E-2</c:v>
                </c:pt>
                <c:pt idx="66">
                  <c:v>1.9549375744564133E-2</c:v>
                </c:pt>
                <c:pt idx="67">
                  <c:v>1.8939024526756203E-2</c:v>
                </c:pt>
                <c:pt idx="68">
                  <c:v>1.8350702522425835E-2</c:v>
                </c:pt>
                <c:pt idx="69">
                  <c:v>1.7779749384007674E-2</c:v>
                </c:pt>
                <c:pt idx="70">
                  <c:v>1.722724014258661E-2</c:v>
                </c:pt>
                <c:pt idx="71">
                  <c:v>1.6685000643324961E-2</c:v>
                </c:pt>
                <c:pt idx="72">
                  <c:v>1.6155452716411282E-2</c:v>
                </c:pt>
                <c:pt idx="73">
                  <c:v>1.5657129170221721E-2</c:v>
                </c:pt>
                <c:pt idx="74">
                  <c:v>1.5160858481336156E-2</c:v>
                </c:pt>
                <c:pt idx="75">
                  <c:v>1.4665494789948866E-2</c:v>
                </c:pt>
                <c:pt idx="76">
                  <c:v>1.4209546943225355E-2</c:v>
                </c:pt>
                <c:pt idx="77">
                  <c:v>1.3743326633706971E-2</c:v>
                </c:pt>
                <c:pt idx="78">
                  <c:v>1.3307452796371584E-2</c:v>
                </c:pt>
                <c:pt idx="79">
                  <c:v>1.287003061426434E-2</c:v>
                </c:pt>
                <c:pt idx="80">
                  <c:v>1.2436804548604342E-2</c:v>
                </c:pt>
                <c:pt idx="81">
                  <c:v>1.2033890281164602E-2</c:v>
                </c:pt>
                <c:pt idx="82">
                  <c:v>1.1648477144341238E-2</c:v>
                </c:pt>
                <c:pt idx="83">
                  <c:v>1.125497590493838E-2</c:v>
                </c:pt>
                <c:pt idx="84">
                  <c:v>1.0889022016961673E-2</c:v>
                </c:pt>
                <c:pt idx="85">
                  <c:v>1.0502469724983728E-2</c:v>
                </c:pt>
                <c:pt idx="86">
                  <c:v>1.0161664091433324E-2</c:v>
                </c:pt>
                <c:pt idx="87">
                  <c:v>9.8106159993708204E-3</c:v>
                </c:pt>
                <c:pt idx="88">
                  <c:v>9.467230814994898E-3</c:v>
                </c:pt>
                <c:pt idx="89">
                  <c:v>9.1513497683604391E-3</c:v>
                </c:pt>
                <c:pt idx="90">
                  <c:v>8.8360764494718035E-3</c:v>
                </c:pt>
                <c:pt idx="91">
                  <c:v>8.5273928844917211E-3</c:v>
                </c:pt>
                <c:pt idx="92">
                  <c:v>8.2347549138213315E-3</c:v>
                </c:pt>
                <c:pt idx="93">
                  <c:v>7.9486977276093038E-3</c:v>
                </c:pt>
                <c:pt idx="94">
                  <c:v>7.6523363786698689E-3</c:v>
                </c:pt>
                <c:pt idx="95">
                  <c:v>7.3845790945968569E-3</c:v>
                </c:pt>
                <c:pt idx="96">
                  <c:v>7.1320399624636155E-3</c:v>
                </c:pt>
                <c:pt idx="97">
                  <c:v>6.865938877766993E-3</c:v>
                </c:pt>
                <c:pt idx="98">
                  <c:v>6.6338425876994785E-3</c:v>
                </c:pt>
                <c:pt idx="99">
                  <c:v>6.3895445210098469E-3</c:v>
                </c:pt>
                <c:pt idx="100">
                  <c:v>6.1607287985054699E-3</c:v>
                </c:pt>
                <c:pt idx="101">
                  <c:v>5.9452503047054354E-3</c:v>
                </c:pt>
                <c:pt idx="102">
                  <c:v>5.7200432802185022E-3</c:v>
                </c:pt>
                <c:pt idx="103">
                  <c:v>5.5178932265765087E-3</c:v>
                </c:pt>
                <c:pt idx="104">
                  <c:v>5.3301814473353856E-3</c:v>
                </c:pt>
                <c:pt idx="105">
                  <c:v>5.145432093541802E-3</c:v>
                </c:pt>
                <c:pt idx="106">
                  <c:v>4.9699489790138614E-3</c:v>
                </c:pt>
                <c:pt idx="107">
                  <c:v>4.7885108891237644E-3</c:v>
                </c:pt>
                <c:pt idx="108">
                  <c:v>4.6168365749355783E-3</c:v>
                </c:pt>
                <c:pt idx="109">
                  <c:v>4.4701395442422708E-3</c:v>
                </c:pt>
                <c:pt idx="110">
                  <c:v>4.3071836087747338E-3</c:v>
                </c:pt>
                <c:pt idx="111">
                  <c:v>4.1610374609201894E-3</c:v>
                </c:pt>
                <c:pt idx="112">
                  <c:v>4.0157351243570822E-3</c:v>
                </c:pt>
                <c:pt idx="113">
                  <c:v>3.9059188737328183E-3</c:v>
                </c:pt>
                <c:pt idx="114">
                  <c:v>3.7812311119622922E-3</c:v>
                </c:pt>
                <c:pt idx="115">
                  <c:v>3.6408420625376947E-3</c:v>
                </c:pt>
                <c:pt idx="116">
                  <c:v>3.5405386728784355E-3</c:v>
                </c:pt>
                <c:pt idx="117">
                  <c:v>3.4321369132181371E-3</c:v>
                </c:pt>
                <c:pt idx="118">
                  <c:v>3.3240187161069001E-3</c:v>
                </c:pt>
                <c:pt idx="119">
                  <c:v>3.2150740850331334E-3</c:v>
                </c:pt>
                <c:pt idx="120">
                  <c:v>3.1413748209982995E-3</c:v>
                </c:pt>
                <c:pt idx="121">
                  <c:v>3.0400151614591014E-3</c:v>
                </c:pt>
                <c:pt idx="122">
                  <c:v>2.9595527396560298E-3</c:v>
                </c:pt>
                <c:pt idx="123">
                  <c:v>2.8720467113588222E-3</c:v>
                </c:pt>
                <c:pt idx="124">
                  <c:v>2.7967236655114724E-3</c:v>
                </c:pt>
              </c:numCache>
            </c:numRef>
          </c:yVal>
          <c:smooth val="1"/>
        </c:ser>
        <c:dLbls>
          <c:showLegendKey val="0"/>
          <c:showVal val="0"/>
          <c:showCatName val="0"/>
          <c:showSerName val="0"/>
          <c:showPercent val="0"/>
          <c:showBubbleSize val="0"/>
        </c:dLbls>
        <c:axId val="274974976"/>
        <c:axId val="274973440"/>
      </c:scatterChart>
      <c:valAx>
        <c:axId val="274953344"/>
        <c:scaling>
          <c:orientation val="minMax"/>
          <c:min val="0"/>
        </c:scaling>
        <c:delete val="0"/>
        <c:axPos val="b"/>
        <c:title>
          <c:tx>
            <c:rich>
              <a:bodyPr/>
              <a:lstStyle/>
              <a:p>
                <a:pPr>
                  <a:defRPr sz="700"/>
                </a:pPr>
                <a:r>
                  <a:rPr lang="en-US" sz="700"/>
                  <a:t>Time (s)</a:t>
                </a:r>
              </a:p>
            </c:rich>
          </c:tx>
          <c:layout>
            <c:manualLayout>
              <c:xMode val="edge"/>
              <c:yMode val="edge"/>
              <c:x val="0.43219252093397381"/>
              <c:y val="0.8892561334286021"/>
            </c:manualLayout>
          </c:layout>
          <c:overlay val="0"/>
        </c:title>
        <c:numFmt formatCode="0.0E+00" sourceLinked="0"/>
        <c:majorTickMark val="cross"/>
        <c:minorTickMark val="none"/>
        <c:tickLblPos val="nextTo"/>
        <c:txPr>
          <a:bodyPr/>
          <a:lstStyle/>
          <a:p>
            <a:pPr>
              <a:defRPr sz="800"/>
            </a:pPr>
            <a:endParaRPr lang="en-US"/>
          </a:p>
        </c:txPr>
        <c:crossAx val="274955264"/>
        <c:crosses val="autoZero"/>
        <c:crossBetween val="midCat"/>
      </c:valAx>
      <c:valAx>
        <c:axId val="274955264"/>
        <c:scaling>
          <c:orientation val="minMax"/>
          <c:min val="0"/>
        </c:scaling>
        <c:delete val="0"/>
        <c:axPos val="l"/>
        <c:numFmt formatCode="0" sourceLinked="0"/>
        <c:majorTickMark val="in"/>
        <c:minorTickMark val="none"/>
        <c:tickLblPos val="nextTo"/>
        <c:spPr>
          <a:ln>
            <a:solidFill>
              <a:schemeClr val="accent1"/>
            </a:solidFill>
          </a:ln>
        </c:spPr>
        <c:txPr>
          <a:bodyPr/>
          <a:lstStyle/>
          <a:p>
            <a:pPr>
              <a:defRPr sz="700">
                <a:solidFill>
                  <a:schemeClr val="accent1">
                    <a:lumMod val="75000"/>
                  </a:schemeClr>
                </a:solidFill>
              </a:defRPr>
            </a:pPr>
            <a:endParaRPr lang="en-US"/>
          </a:p>
        </c:txPr>
        <c:crossAx val="274953344"/>
        <c:crosses val="autoZero"/>
        <c:crossBetween val="midCat"/>
      </c:valAx>
      <c:valAx>
        <c:axId val="274973440"/>
        <c:scaling>
          <c:orientation val="minMax"/>
          <c:min val="0"/>
        </c:scaling>
        <c:delete val="0"/>
        <c:axPos val="r"/>
        <c:numFmt formatCode="General" sourceLinked="0"/>
        <c:majorTickMark val="out"/>
        <c:minorTickMark val="none"/>
        <c:tickLblPos val="nextTo"/>
        <c:spPr>
          <a:ln>
            <a:solidFill>
              <a:schemeClr val="accent2"/>
            </a:solidFill>
          </a:ln>
        </c:spPr>
        <c:txPr>
          <a:bodyPr/>
          <a:lstStyle/>
          <a:p>
            <a:pPr>
              <a:defRPr sz="700">
                <a:solidFill>
                  <a:schemeClr val="accent2"/>
                </a:solidFill>
              </a:defRPr>
            </a:pPr>
            <a:endParaRPr lang="en-US"/>
          </a:p>
        </c:txPr>
        <c:crossAx val="274974976"/>
        <c:crosses val="max"/>
        <c:crossBetween val="midCat"/>
      </c:valAx>
      <c:valAx>
        <c:axId val="274974976"/>
        <c:scaling>
          <c:orientation val="minMax"/>
        </c:scaling>
        <c:delete val="1"/>
        <c:axPos val="b"/>
        <c:numFmt formatCode="0.00E+00" sourceLinked="1"/>
        <c:majorTickMark val="out"/>
        <c:minorTickMark val="none"/>
        <c:tickLblPos val="none"/>
        <c:crossAx val="274973440"/>
        <c:crosses val="autoZero"/>
        <c:crossBetween val="midCat"/>
      </c:valAx>
    </c:plotArea>
    <c:legend>
      <c:legendPos val="r"/>
      <c:layout>
        <c:manualLayout>
          <c:xMode val="edge"/>
          <c:yMode val="edge"/>
          <c:x val="0.19890911565945296"/>
          <c:y val="7.7206028856852973E-2"/>
          <c:w val="0.56643909140126703"/>
          <c:h val="0.34302074297047203"/>
        </c:manualLayout>
      </c:layout>
      <c:overlay val="0"/>
      <c:txPr>
        <a:bodyPr/>
        <a:lstStyle/>
        <a:p>
          <a:pPr>
            <a:defRPr sz="700"/>
          </a:pPr>
          <a:endParaRPr lang="en-US"/>
        </a:p>
      </c:txPr>
    </c:legend>
    <c:plotVisOnly val="1"/>
    <c:dispBlanksAs val="gap"/>
    <c:showDLblsOverMax val="0"/>
  </c:chart>
  <c:printSettings>
    <c:headerFooter/>
    <c:pageMargins b="0.750000000000001" l="0.70000000000000062" r="0.70000000000000062" t="0.750000000000001"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5.em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6.png"/><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6</xdr:col>
      <xdr:colOff>466725</xdr:colOff>
      <xdr:row>0</xdr:row>
      <xdr:rowOff>19050</xdr:rowOff>
    </xdr:from>
    <xdr:to>
      <xdr:col>9</xdr:col>
      <xdr:colOff>21249</xdr:colOff>
      <xdr:row>3</xdr:row>
      <xdr:rowOff>22794</xdr:rowOff>
    </xdr:to>
    <xdr:pic>
      <xdr:nvPicPr>
        <xdr:cNvPr id="2"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5048250" y="19050"/>
          <a:ext cx="1383324" cy="518094"/>
        </a:xfrm>
        <a:prstGeom prst="rect">
          <a:avLst/>
        </a:prstGeom>
        <a:noFill/>
      </xdr:spPr>
    </xdr:pic>
    <xdr:clientData/>
  </xdr:twoCellAnchor>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1</xdr:col>
          <xdr:colOff>617220</xdr:colOff>
          <xdr:row>2</xdr:row>
          <xdr:rowOff>167640</xdr:rowOff>
        </xdr:to>
        <xdr:sp macro="" textlink="">
          <xdr:nvSpPr>
            <xdr:cNvPr id="101377" name="CommandButton1" hidden="1">
              <a:extLst>
                <a:ext uri="{63B3BB69-23CF-44E3-9099-C40C66FF867C}">
                  <a14:compatExt spid="_x0000_s10137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685800</xdr:colOff>
          <xdr:row>0</xdr:row>
          <xdr:rowOff>0</xdr:rowOff>
        </xdr:from>
        <xdr:to>
          <xdr:col>3</xdr:col>
          <xdr:colOff>624840</xdr:colOff>
          <xdr:row>2</xdr:row>
          <xdr:rowOff>167640</xdr:rowOff>
        </xdr:to>
        <xdr:sp macro="" textlink="">
          <xdr:nvSpPr>
            <xdr:cNvPr id="101378" name="CommandButton2" hidden="1">
              <a:extLst>
                <a:ext uri="{63B3BB69-23CF-44E3-9099-C40C66FF867C}">
                  <a14:compatExt spid="_x0000_s1013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0</xdr:row>
          <xdr:rowOff>0</xdr:rowOff>
        </xdr:from>
        <xdr:to>
          <xdr:col>6</xdr:col>
          <xdr:colOff>419100</xdr:colOff>
          <xdr:row>2</xdr:row>
          <xdr:rowOff>167640</xdr:rowOff>
        </xdr:to>
        <xdr:sp macro="" textlink="">
          <xdr:nvSpPr>
            <xdr:cNvPr id="101379" name="CommandButton3" hidden="1">
              <a:extLst>
                <a:ext uri="{63B3BB69-23CF-44E3-9099-C40C66FF867C}">
                  <a14:compatExt spid="_x0000_s101379"/>
                </a:ext>
              </a:extLst>
            </xdr:cNvPr>
            <xdr:cNvSpPr/>
          </xdr:nvSpPr>
          <xdr:spPr>
            <a:xfrm>
              <a:off x="0" y="0"/>
              <a:ext cx="0" cy="0"/>
            </a:xfrm>
            <a:prstGeom prst="rect">
              <a:avLst/>
            </a:prstGeom>
          </xdr:spPr>
        </xdr:sp>
        <xdr:clientData fPrintsWithSheet="0"/>
      </xdr:twoCellAnchor>
    </mc:Choice>
    <mc:Fallback/>
  </mc:AlternateContent>
  <xdr:twoCellAnchor editAs="absolute">
    <xdr:from>
      <xdr:col>0</xdr:col>
      <xdr:colOff>0</xdr:colOff>
      <xdr:row>8</xdr:row>
      <xdr:rowOff>9525</xdr:rowOff>
    </xdr:from>
    <xdr:to>
      <xdr:col>8</xdr:col>
      <xdr:colOff>149673</xdr:colOff>
      <xdr:row>29</xdr:row>
      <xdr:rowOff>51722</xdr:rowOff>
    </xdr:to>
    <xdr:graphicFrame macro="">
      <xdr:nvGraphicFramePr>
        <xdr:cNvPr id="6"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absolute">
        <xdr:from>
          <xdr:col>8</xdr:col>
          <xdr:colOff>213360</xdr:colOff>
          <xdr:row>8</xdr:row>
          <xdr:rowOff>22860</xdr:rowOff>
        </xdr:from>
        <xdr:to>
          <xdr:col>9</xdr:col>
          <xdr:colOff>251460</xdr:colOff>
          <xdr:row>10</xdr:row>
          <xdr:rowOff>83820</xdr:rowOff>
        </xdr:to>
        <xdr:sp macro="" textlink="">
          <xdr:nvSpPr>
            <xdr:cNvPr id="101380" name="Button 4" hidden="1">
              <a:extLst>
                <a:ext uri="{63B3BB69-23CF-44E3-9099-C40C66FF867C}">
                  <a14:compatExt spid="_x0000_s10138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3</xdr:row>
          <xdr:rowOff>0</xdr:rowOff>
        </xdr:from>
        <xdr:to>
          <xdr:col>6</xdr:col>
          <xdr:colOff>419100</xdr:colOff>
          <xdr:row>5</xdr:row>
          <xdr:rowOff>0</xdr:rowOff>
        </xdr:to>
        <xdr:sp macro="" textlink="">
          <xdr:nvSpPr>
            <xdr:cNvPr id="101399" name="CommandButton4" hidden="1">
              <a:extLst>
                <a:ext uri="{63B3BB69-23CF-44E3-9099-C40C66FF867C}">
                  <a14:compatExt spid="_x0000_s101399"/>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0</xdr:colOff>
      <xdr:row>4</xdr:row>
      <xdr:rowOff>1</xdr:rowOff>
    </xdr:from>
    <xdr:to>
      <xdr:col>13</xdr:col>
      <xdr:colOff>444500</xdr:colOff>
      <xdr:row>6</xdr:row>
      <xdr:rowOff>0</xdr:rowOff>
    </xdr:to>
    <xdr:sp macro="" textlink="" fLocksText="0">
      <xdr:nvSpPr>
        <xdr:cNvPr id="51234" name="Text Box 34"/>
        <xdr:cNvSpPr txBox="1">
          <a:spLocks noChangeArrowheads="1"/>
        </xdr:cNvSpPr>
      </xdr:nvSpPr>
      <xdr:spPr bwMode="auto">
        <a:xfrm>
          <a:off x="10858500" y="772584"/>
          <a:ext cx="2021417" cy="645583"/>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Space for User Comments</a:t>
          </a:r>
        </a:p>
      </xdr:txBody>
    </xdr:sp>
    <xdr:clientData/>
  </xdr:twoCellAnchor>
  <xdr:twoCellAnchor editAs="absolute">
    <xdr:from>
      <xdr:col>0</xdr:col>
      <xdr:colOff>0</xdr:colOff>
      <xdr:row>11</xdr:row>
      <xdr:rowOff>5603</xdr:rowOff>
    </xdr:from>
    <xdr:to>
      <xdr:col>5</xdr:col>
      <xdr:colOff>823912</xdr:colOff>
      <xdr:row>32</xdr:row>
      <xdr:rowOff>141755</xdr:rowOff>
    </xdr:to>
    <xdr:graphicFrame macro="">
      <xdr:nvGraphicFramePr>
        <xdr:cNvPr id="6" name="LightandPC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822388</xdr:colOff>
      <xdr:row>11</xdr:row>
      <xdr:rowOff>2802</xdr:rowOff>
    </xdr:from>
    <xdr:to>
      <xdr:col>12</xdr:col>
      <xdr:colOff>15639</xdr:colOff>
      <xdr:row>32</xdr:row>
      <xdr:rowOff>150895</xdr:rowOff>
    </xdr:to>
    <xdr:graphicFrame macro="">
      <xdr:nvGraphicFramePr>
        <xdr:cNvPr id="7"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0</xdr:colOff>
      <xdr:row>32</xdr:row>
      <xdr:rowOff>147156</xdr:rowOff>
    </xdr:from>
    <xdr:to>
      <xdr:col>5</xdr:col>
      <xdr:colOff>823912</xdr:colOff>
      <xdr:row>54</xdr:row>
      <xdr:rowOff>137630</xdr:rowOff>
    </xdr:to>
    <xdr:graphicFrame macro="">
      <xdr:nvGraphicFramePr>
        <xdr:cNvPr id="8" name="ImpliedV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5</xdr:col>
      <xdr:colOff>813822</xdr:colOff>
      <xdr:row>32</xdr:row>
      <xdr:rowOff>142178</xdr:rowOff>
    </xdr:from>
    <xdr:to>
      <xdr:col>12</xdr:col>
      <xdr:colOff>5878</xdr:colOff>
      <xdr:row>54</xdr:row>
      <xdr:rowOff>132652</xdr:rowOff>
    </xdr:to>
    <xdr:graphicFrame macro="">
      <xdr:nvGraphicFramePr>
        <xdr:cNvPr id="10" name="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724693</xdr:colOff>
      <xdr:row>11</xdr:row>
      <xdr:rowOff>2644</xdr:rowOff>
    </xdr:from>
    <xdr:to>
      <xdr:col>8</xdr:col>
      <xdr:colOff>438943</xdr:colOff>
      <xdr:row>32</xdr:row>
      <xdr:rowOff>10847</xdr:rowOff>
    </xdr:to>
    <xdr:graphicFrame macro="">
      <xdr:nvGraphicFramePr>
        <xdr:cNvPr id="51287" name="RawVoltageGraph" hidden="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mc:AlternateContent xmlns:mc="http://schemas.openxmlformats.org/markup-compatibility/2006">
    <mc:Choice xmlns:a14="http://schemas.microsoft.com/office/drawing/2010/main" Requires="a14">
      <xdr:twoCellAnchor editAs="absolute">
        <xdr:from>
          <xdr:col>12</xdr:col>
          <xdr:colOff>106680</xdr:colOff>
          <xdr:row>11</xdr:row>
          <xdr:rowOff>30480</xdr:rowOff>
        </xdr:from>
        <xdr:to>
          <xdr:col>13</xdr:col>
          <xdr:colOff>0</xdr:colOff>
          <xdr:row>13</xdr:row>
          <xdr:rowOff>106680</xdr:rowOff>
        </xdr:to>
        <xdr:sp macro="" textlink="">
          <xdr:nvSpPr>
            <xdr:cNvPr id="51299" name="Button 99" hidden="1">
              <a:extLst>
                <a:ext uri="{63B3BB69-23CF-44E3-9099-C40C66FF867C}">
                  <a14:compatExt spid="_x0000_s5129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83820</xdr:colOff>
          <xdr:row>33</xdr:row>
          <xdr:rowOff>30480</xdr:rowOff>
        </xdr:from>
        <xdr:to>
          <xdr:col>12</xdr:col>
          <xdr:colOff>731520</xdr:colOff>
          <xdr:row>35</xdr:row>
          <xdr:rowOff>114300</xdr:rowOff>
        </xdr:to>
        <xdr:sp macro="" textlink="">
          <xdr:nvSpPr>
            <xdr:cNvPr id="51300" name="Button 100" hidden="1">
              <a:extLst>
                <a:ext uri="{63B3BB69-23CF-44E3-9099-C40C66FF867C}">
                  <a14:compatExt spid="_x0000_s5130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xdr:twoCellAnchor>
    <xdr:from>
      <xdr:col>0</xdr:col>
      <xdr:colOff>56029</xdr:colOff>
      <xdr:row>0</xdr:row>
      <xdr:rowOff>44818</xdr:rowOff>
    </xdr:from>
    <xdr:to>
      <xdr:col>1</xdr:col>
      <xdr:colOff>511167</xdr:colOff>
      <xdr:row>2</xdr:row>
      <xdr:rowOff>182964</xdr:rowOff>
    </xdr:to>
    <xdr:sp macro="[0]!ZeroInstrumentButton_Click" textlink="">
      <xdr:nvSpPr>
        <xdr:cNvPr id="16" name="Rectangle 15"/>
        <xdr:cNvSpPr/>
      </xdr:nvSpPr>
      <xdr:spPr>
        <a:xfrm>
          <a:off x="56029"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Zero Instrument</a:t>
          </a:r>
          <a:endParaRPr lang="en-US" sz="1200" b="1">
            <a:solidFill>
              <a:sysClr val="windowText" lastClr="000000"/>
            </a:solidFill>
          </a:endParaRPr>
        </a:p>
      </xdr:txBody>
    </xdr:sp>
    <xdr:clientData/>
  </xdr:twoCellAnchor>
  <xdr:twoCellAnchor>
    <xdr:from>
      <xdr:col>1</xdr:col>
      <xdr:colOff>582705</xdr:colOff>
      <xdr:row>0</xdr:row>
      <xdr:rowOff>44818</xdr:rowOff>
    </xdr:from>
    <xdr:to>
      <xdr:col>3</xdr:col>
      <xdr:colOff>141373</xdr:colOff>
      <xdr:row>2</xdr:row>
      <xdr:rowOff>182964</xdr:rowOff>
    </xdr:to>
    <xdr:sp macro="[0]!MeasureButton_Click" textlink="">
      <xdr:nvSpPr>
        <xdr:cNvPr id="17" name="Rectangle 16"/>
        <xdr:cNvSpPr/>
      </xdr:nvSpPr>
      <xdr:spPr>
        <a:xfrm>
          <a:off x="1736911"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Measure Wafer</a:t>
          </a:r>
          <a:endParaRPr lang="en-US" sz="1200" b="1">
            <a:solidFill>
              <a:sysClr val="windowText" lastClr="000000"/>
            </a:solidFill>
          </a:endParaRPr>
        </a:p>
      </xdr:txBody>
    </xdr:sp>
    <xdr:clientData/>
  </xdr:twoCellAnchor>
  <xdr:twoCellAnchor>
    <xdr:from>
      <xdr:col>3</xdr:col>
      <xdr:colOff>212911</xdr:colOff>
      <xdr:row>0</xdr:row>
      <xdr:rowOff>44818</xdr:rowOff>
    </xdr:from>
    <xdr:to>
      <xdr:col>4</xdr:col>
      <xdr:colOff>836137</xdr:colOff>
      <xdr:row>2</xdr:row>
      <xdr:rowOff>182964</xdr:rowOff>
    </xdr:to>
    <xdr:sp macro="[0]!LogToSummaryButton_Click" textlink="">
      <xdr:nvSpPr>
        <xdr:cNvPr id="18" name="Rectangle 17"/>
        <xdr:cNvSpPr/>
      </xdr:nvSpPr>
      <xdr:spPr>
        <a:xfrm>
          <a:off x="3417793"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Log To Summary</a:t>
          </a:r>
          <a:endParaRPr lang="en-US" sz="1200" b="1">
            <a:solidFill>
              <a:sysClr val="windowText" lastClr="000000"/>
            </a:solidFill>
          </a:endParaRPr>
        </a:p>
      </xdr:txBody>
    </xdr:sp>
    <xdr:clientData/>
  </xdr:twoCellAnchor>
  <xdr:twoCellAnchor>
    <xdr:from>
      <xdr:col>4</xdr:col>
      <xdr:colOff>907675</xdr:colOff>
      <xdr:row>0</xdr:row>
      <xdr:rowOff>44818</xdr:rowOff>
    </xdr:from>
    <xdr:to>
      <xdr:col>6</xdr:col>
      <xdr:colOff>679254</xdr:colOff>
      <xdr:row>2</xdr:row>
      <xdr:rowOff>182964</xdr:rowOff>
    </xdr:to>
    <xdr:sp macro="[0]!SaveGraphtoTextButton_Click" textlink="">
      <xdr:nvSpPr>
        <xdr:cNvPr id="19" name="Rectangle 18"/>
        <xdr:cNvSpPr/>
      </xdr:nvSpPr>
      <xdr:spPr>
        <a:xfrm>
          <a:off x="5098675"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Save Graph Data to .txt File</a:t>
          </a:r>
          <a:endParaRPr lang="en-US" sz="1200" b="1">
            <a:solidFill>
              <a:sysClr val="windowText" lastClr="000000"/>
            </a:solidFill>
          </a:endParaRPr>
        </a:p>
      </xdr:txBody>
    </xdr:sp>
    <xdr:clientData/>
  </xdr:twoCellAnchor>
  <xdr:twoCellAnchor>
    <xdr:from>
      <xdr:col>6</xdr:col>
      <xdr:colOff>750793</xdr:colOff>
      <xdr:row>0</xdr:row>
      <xdr:rowOff>44818</xdr:rowOff>
    </xdr:from>
    <xdr:to>
      <xdr:col>8</xdr:col>
      <xdr:colOff>287049</xdr:colOff>
      <xdr:row>2</xdr:row>
      <xdr:rowOff>182964</xdr:rowOff>
    </xdr:to>
    <xdr:sp macro="[0]!GenerateReportButton_Click" textlink="">
      <xdr:nvSpPr>
        <xdr:cNvPr id="20" name="Rectangle 19"/>
        <xdr:cNvSpPr/>
      </xdr:nvSpPr>
      <xdr:spPr>
        <a:xfrm>
          <a:off x="6779558"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Generate SEMI PV13 Report</a:t>
          </a:r>
          <a:endParaRPr lang="en-US" sz="1200" b="1">
            <a:solidFill>
              <a:sysClr val="windowText" lastClr="000000"/>
            </a:solidFill>
          </a:endParaRPr>
        </a:p>
      </xdr:txBody>
    </xdr:sp>
    <xdr:clientData/>
  </xdr:twoCellAnchor>
  <xdr:twoCellAnchor editAs="oneCell">
    <xdr:from>
      <xdr:col>8</xdr:col>
      <xdr:colOff>336176</xdr:colOff>
      <xdr:row>0</xdr:row>
      <xdr:rowOff>33619</xdr:rowOff>
    </xdr:from>
    <xdr:to>
      <xdr:col>9</xdr:col>
      <xdr:colOff>841898</xdr:colOff>
      <xdr:row>2</xdr:row>
      <xdr:rowOff>179294</xdr:rowOff>
    </xdr:to>
    <xdr:pic>
      <xdr:nvPicPr>
        <xdr:cNvPr id="2" name="Picture 1"/>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438029" y="33619"/>
          <a:ext cx="1559075" cy="5378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38100</xdr:rowOff>
    </xdr:from>
    <xdr:to>
      <xdr:col>6</xdr:col>
      <xdr:colOff>514350</xdr:colOff>
      <xdr:row>4</xdr:row>
      <xdr:rowOff>38100</xdr:rowOff>
    </xdr:to>
    <xdr:cxnSp macro="">
      <xdr:nvCxnSpPr>
        <xdr:cNvPr id="6" name="Straight Connector 5"/>
        <xdr:cNvCxnSpPr/>
      </xdr:nvCxnSpPr>
      <xdr:spPr bwMode="auto">
        <a:xfrm>
          <a:off x="9525" y="657225"/>
          <a:ext cx="6048375" cy="0"/>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47625</xdr:colOff>
      <xdr:row>47</xdr:row>
      <xdr:rowOff>76200</xdr:rowOff>
    </xdr:from>
    <xdr:to>
      <xdr:col>6</xdr:col>
      <xdr:colOff>419100</xdr:colOff>
      <xdr:row>47</xdr:row>
      <xdr:rowOff>104776</xdr:rowOff>
    </xdr:to>
    <xdr:cxnSp macro="">
      <xdr:nvCxnSpPr>
        <xdr:cNvPr id="7" name="Straight Connector 6"/>
        <xdr:cNvCxnSpPr/>
      </xdr:nvCxnSpPr>
      <xdr:spPr bwMode="auto">
        <a:xfrm flipV="1">
          <a:off x="47625" y="8420100"/>
          <a:ext cx="5915025" cy="28576"/>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85725</xdr:colOff>
      <xdr:row>47</xdr:row>
      <xdr:rowOff>123825</xdr:rowOff>
    </xdr:from>
    <xdr:to>
      <xdr:col>6</xdr:col>
      <xdr:colOff>428624</xdr:colOff>
      <xdr:row>49</xdr:row>
      <xdr:rowOff>85725</xdr:rowOff>
    </xdr:to>
    <xdr:sp macro="" textlink="">
      <xdr:nvSpPr>
        <xdr:cNvPr id="8" name="TextBox 7"/>
        <xdr:cNvSpPr txBox="1"/>
      </xdr:nvSpPr>
      <xdr:spPr>
        <a:xfrm>
          <a:off x="85725" y="8467725"/>
          <a:ext cx="5886449"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Arial" pitchFamily="34" charset="0"/>
              <a:ea typeface="+mn-ea"/>
              <a:cs typeface="Arial" pitchFamily="34" charset="0"/>
            </a:rPr>
            <a:t>4720 Walnut Street, Suite 102, Boulder, CO 80301 USA  •  +1 303.945.2113  •  www.sintoninstruments.com</a:t>
          </a:r>
        </a:p>
        <a:p>
          <a:endParaRPr lang="en-US" sz="1200"/>
        </a:p>
      </xdr:txBody>
    </xdr:sp>
    <xdr:clientData/>
  </xdr:twoCellAnchor>
  <xdr:twoCellAnchor editAs="absolute">
    <xdr:from>
      <xdr:col>0</xdr:col>
      <xdr:colOff>19050</xdr:colOff>
      <xdr:row>0</xdr:row>
      <xdr:rowOff>0</xdr:rowOff>
    </xdr:from>
    <xdr:to>
      <xdr:col>1</xdr:col>
      <xdr:colOff>1400175</xdr:colOff>
      <xdr:row>4</xdr:row>
      <xdr:rowOff>4898</xdr:rowOff>
    </xdr:to>
    <xdr:pic>
      <xdr:nvPicPr>
        <xdr:cNvPr id="11"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666875" cy="624023"/>
        </a:xfrm>
        <a:prstGeom prst="rect">
          <a:avLst/>
        </a:prstGeom>
        <a:noFill/>
      </xdr:spPr>
    </xdr:pic>
    <xdr:clientData/>
  </xdr:twoCellAnchor>
  <xdr:twoCellAnchor>
    <xdr:from>
      <xdr:col>1</xdr:col>
      <xdr:colOff>1952625</xdr:colOff>
      <xdr:row>30</xdr:row>
      <xdr:rowOff>9525</xdr:rowOff>
    </xdr:from>
    <xdr:to>
      <xdr:col>1</xdr:col>
      <xdr:colOff>2209800</xdr:colOff>
      <xdr:row>31</xdr:row>
      <xdr:rowOff>9525</xdr:rowOff>
    </xdr:to>
    <xdr:sp macro="" textlink="">
      <xdr:nvSpPr>
        <xdr:cNvPr id="12" name="Rectangle 11"/>
        <xdr:cNvSpPr/>
      </xdr:nvSpPr>
      <xdr:spPr bwMode="auto">
        <a:xfrm>
          <a:off x="2238375" y="44005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28</xdr:row>
      <xdr:rowOff>9525</xdr:rowOff>
    </xdr:from>
    <xdr:to>
      <xdr:col>1</xdr:col>
      <xdr:colOff>2209800</xdr:colOff>
      <xdr:row>29</xdr:row>
      <xdr:rowOff>9525</xdr:rowOff>
    </xdr:to>
    <xdr:sp macro="" textlink="">
      <xdr:nvSpPr>
        <xdr:cNvPr id="13" name="Rectangle 12"/>
        <xdr:cNvSpPr/>
      </xdr:nvSpPr>
      <xdr:spPr bwMode="auto">
        <a:xfrm>
          <a:off x="2238375" y="40957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29</xdr:row>
      <xdr:rowOff>9525</xdr:rowOff>
    </xdr:from>
    <xdr:to>
      <xdr:col>1</xdr:col>
      <xdr:colOff>2209800</xdr:colOff>
      <xdr:row>30</xdr:row>
      <xdr:rowOff>9525</xdr:rowOff>
    </xdr:to>
    <xdr:sp macro="" textlink="">
      <xdr:nvSpPr>
        <xdr:cNvPr id="14" name="Rectangle 13"/>
        <xdr:cNvSpPr/>
      </xdr:nvSpPr>
      <xdr:spPr bwMode="auto">
        <a:xfrm>
          <a:off x="2238375" y="42481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2</xdr:col>
      <xdr:colOff>723898</xdr:colOff>
      <xdr:row>38</xdr:row>
      <xdr:rowOff>152399</xdr:rowOff>
    </xdr:from>
    <xdr:to>
      <xdr:col>5</xdr:col>
      <xdr:colOff>609599</xdr:colOff>
      <xdr:row>39</xdr:row>
      <xdr:rowOff>1323974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3:N9"/>
  <sheetViews>
    <sheetView workbookViewId="0">
      <selection activeCell="A5" sqref="A5"/>
    </sheetView>
  </sheetViews>
  <sheetFormatPr defaultColWidth="9.109375" defaultRowHeight="13.2"/>
  <cols>
    <col min="1" max="1" width="15" style="63" customWidth="1"/>
    <col min="2" max="2" width="13.5546875" style="63" customWidth="1"/>
    <col min="3" max="3" width="11.33203125" style="63" customWidth="1"/>
    <col min="4" max="4" width="10.5546875" style="63" customWidth="1"/>
    <col min="5" max="5" width="9.109375" style="63" customWidth="1"/>
    <col min="6" max="16384" width="9.109375" style="63"/>
  </cols>
  <sheetData>
    <row r="3" spans="1:14" ht="15" customHeight="1">
      <c r="A3" s="79"/>
      <c r="B3" s="79"/>
      <c r="C3" s="79"/>
      <c r="D3" s="79"/>
    </row>
    <row r="4" spans="1:14" ht="27">
      <c r="A4" s="78" t="s">
        <v>262</v>
      </c>
      <c r="B4" s="78" t="s">
        <v>14</v>
      </c>
      <c r="C4" s="78" t="s">
        <v>199</v>
      </c>
      <c r="D4" s="78" t="s">
        <v>162</v>
      </c>
      <c r="H4" s="64" t="s">
        <v>159</v>
      </c>
      <c r="I4" s="65"/>
      <c r="J4" s="65"/>
      <c r="L4" s="68"/>
      <c r="M4" s="68"/>
      <c r="N4" s="68"/>
    </row>
    <row r="5" spans="1:14" ht="12.75" customHeight="1">
      <c r="A5" s="93" t="s">
        <v>395</v>
      </c>
      <c r="B5" s="93" t="s">
        <v>332</v>
      </c>
      <c r="C5" s="93">
        <v>5.2499999999999998E-2</v>
      </c>
      <c r="D5" s="93">
        <v>50</v>
      </c>
      <c r="H5" s="66" t="s">
        <v>48</v>
      </c>
      <c r="I5" s="69" t="s">
        <v>397</v>
      </c>
      <c r="J5" s="2" t="s">
        <v>399</v>
      </c>
      <c r="L5" s="68"/>
      <c r="M5" s="68"/>
      <c r="N5" s="68"/>
    </row>
    <row r="6" spans="1:14" ht="15.6">
      <c r="A6" s="41" t="s">
        <v>23</v>
      </c>
      <c r="B6" s="41"/>
      <c r="C6" s="1"/>
      <c r="D6" s="2"/>
      <c r="E6" s="42"/>
      <c r="G6" s="41" t="s">
        <v>255</v>
      </c>
      <c r="H6" s="68"/>
      <c r="I6" s="67"/>
      <c r="J6" s="67"/>
      <c r="K6" s="67"/>
      <c r="L6" s="68"/>
      <c r="M6" s="68"/>
      <c r="N6" s="68"/>
    </row>
    <row r="7" spans="1:14" ht="40.200000000000003">
      <c r="A7" s="70" t="s">
        <v>25</v>
      </c>
      <c r="B7" s="71" t="s">
        <v>390</v>
      </c>
      <c r="C7" s="71" t="s">
        <v>391</v>
      </c>
      <c r="D7" s="71" t="s">
        <v>392</v>
      </c>
      <c r="E7" s="71" t="s">
        <v>263</v>
      </c>
      <c r="F7" s="72" t="s">
        <v>269</v>
      </c>
      <c r="G7" s="300" t="str">
        <f ca="1">RefCellErrorMsg&amp;MCDErrorMsg&amp;LightBiasErrorMsg&amp;AirVoltageError&amp;AnalysisModeErrorMsg&amp;CoverSheetErrorMsg</f>
        <v>Input values must be updated, Click the Update button above</v>
      </c>
      <c r="H7" s="300"/>
      <c r="I7" s="300"/>
      <c r="J7" s="300"/>
      <c r="K7" s="67"/>
      <c r="L7" s="68"/>
      <c r="M7" s="68"/>
      <c r="N7" s="68"/>
    </row>
    <row r="8" spans="1:14">
      <c r="A8" s="73">
        <f>MeasuredLifetime</f>
        <v>363.87198498951619</v>
      </c>
      <c r="B8" s="74">
        <f>SheetResistance</f>
        <v>896.43721466027193</v>
      </c>
      <c r="C8" s="75">
        <f>MeasuredResistivity</f>
        <v>62.750605026219041</v>
      </c>
      <c r="D8" s="76">
        <f>Jo</f>
        <v>1.1968272322696375E-12</v>
      </c>
      <c r="E8" s="74">
        <f>TauFitIntercept</f>
        <v>874.40015366939815</v>
      </c>
      <c r="F8" s="77">
        <f ca="1">ImpliedVoc1sun</f>
        <v>0.59745898057031177</v>
      </c>
      <c r="G8" s="300"/>
      <c r="H8" s="300"/>
      <c r="I8" s="300"/>
      <c r="J8" s="300"/>
      <c r="K8" s="67"/>
      <c r="L8" s="68"/>
      <c r="M8" s="68"/>
      <c r="N8" s="68"/>
    </row>
    <row r="9" spans="1:14">
      <c r="H9" s="68"/>
      <c r="I9" s="68"/>
      <c r="J9" s="68"/>
      <c r="K9" s="68"/>
      <c r="L9" s="68"/>
      <c r="M9" s="68"/>
      <c r="N9" s="68"/>
    </row>
  </sheetData>
  <sheetProtection sheet="1" objects="1" scenarios="1" selectLockedCells="1"/>
  <mergeCells count="1">
    <mergeCell ref="G7:J8"/>
  </mergeCells>
  <pageMargins left="0.7" right="0.7" top="0.75" bottom="0.75" header="0.3" footer="0.3"/>
  <pageSetup orientation="portrait" r:id="rId1"/>
  <drawing r:id="rId2"/>
  <legacyDrawing r:id="rId3"/>
  <controls>
    <mc:AlternateContent xmlns:mc="http://schemas.openxmlformats.org/markup-compatibility/2006">
      <mc:Choice Requires="x14">
        <control shapeId="101399" r:id="rId4" name="CommandButton4">
          <controlPr defaultSize="0" print="0" autoLine="0" r:id="rId5">
            <anchor>
              <from>
                <xdr:col>4</xdr:col>
                <xdr:colOff>22860</xdr:colOff>
                <xdr:row>3</xdr:row>
                <xdr:rowOff>0</xdr:rowOff>
              </from>
              <to>
                <xdr:col>6</xdr:col>
                <xdr:colOff>419100</xdr:colOff>
                <xdr:row>5</xdr:row>
                <xdr:rowOff>0</xdr:rowOff>
              </to>
            </anchor>
          </controlPr>
        </control>
      </mc:Choice>
      <mc:Fallback>
        <control shapeId="101399" r:id="rId4" name="CommandButton4"/>
      </mc:Fallback>
    </mc:AlternateContent>
    <mc:AlternateContent xmlns:mc="http://schemas.openxmlformats.org/markup-compatibility/2006">
      <mc:Choice Requires="x14">
        <control shapeId="101377" r:id="rId6" name="CommandButton1">
          <controlPr defaultSize="0" print="0" autoLine="0" r:id="rId7">
            <anchor>
              <from>
                <xdr:col>0</xdr:col>
                <xdr:colOff>0</xdr:colOff>
                <xdr:row>0</xdr:row>
                <xdr:rowOff>0</xdr:rowOff>
              </from>
              <to>
                <xdr:col>1</xdr:col>
                <xdr:colOff>617220</xdr:colOff>
                <xdr:row>2</xdr:row>
                <xdr:rowOff>167640</xdr:rowOff>
              </to>
            </anchor>
          </controlPr>
        </control>
      </mc:Choice>
      <mc:Fallback>
        <control shapeId="101377" r:id="rId6" name="CommandButton1"/>
      </mc:Fallback>
    </mc:AlternateContent>
    <mc:AlternateContent xmlns:mc="http://schemas.openxmlformats.org/markup-compatibility/2006">
      <mc:Choice Requires="x14">
        <control shapeId="101378" r:id="rId8" name="CommandButton2">
          <controlPr defaultSize="0" print="0" autoLine="0" r:id="rId9">
            <anchor>
              <from>
                <xdr:col>1</xdr:col>
                <xdr:colOff>685800</xdr:colOff>
                <xdr:row>0</xdr:row>
                <xdr:rowOff>0</xdr:rowOff>
              </from>
              <to>
                <xdr:col>3</xdr:col>
                <xdr:colOff>624840</xdr:colOff>
                <xdr:row>2</xdr:row>
                <xdr:rowOff>167640</xdr:rowOff>
              </to>
            </anchor>
          </controlPr>
        </control>
      </mc:Choice>
      <mc:Fallback>
        <control shapeId="101378" r:id="rId8" name="CommandButton2"/>
      </mc:Fallback>
    </mc:AlternateContent>
    <mc:AlternateContent xmlns:mc="http://schemas.openxmlformats.org/markup-compatibility/2006">
      <mc:Choice Requires="x14">
        <control shapeId="101379" r:id="rId10" name="CommandButton3">
          <controlPr defaultSize="0" print="0" autoLine="0" r:id="rId11">
            <anchor>
              <from>
                <xdr:col>4</xdr:col>
                <xdr:colOff>22860</xdr:colOff>
                <xdr:row>0</xdr:row>
                <xdr:rowOff>0</xdr:rowOff>
              </from>
              <to>
                <xdr:col>6</xdr:col>
                <xdr:colOff>419100</xdr:colOff>
                <xdr:row>2</xdr:row>
                <xdr:rowOff>167640</xdr:rowOff>
              </to>
            </anchor>
          </controlPr>
        </control>
      </mc:Choice>
      <mc:Fallback>
        <control shapeId="101379" r:id="rId10" name="CommandButton3"/>
      </mc:Fallback>
    </mc:AlternateContent>
    <mc:AlternateContent xmlns:mc="http://schemas.openxmlformats.org/markup-compatibility/2006">
      <mc:Choice Requires="x14">
        <control shapeId="101380" r:id="rId12" name="Button 4">
          <controlPr defaultSize="0" print="0" autoFill="0" autoPict="0" macro="[0]!RescaleInverse">
            <anchor>
              <from>
                <xdr:col>8</xdr:col>
                <xdr:colOff>213360</xdr:colOff>
                <xdr:row>8</xdr:row>
                <xdr:rowOff>22860</xdr:rowOff>
              </from>
              <to>
                <xdr:col>9</xdr:col>
                <xdr:colOff>251460</xdr:colOff>
                <xdr:row>10</xdr:row>
                <xdr:rowOff>83820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InputRanges!$C$8:$C$22</xm:f>
          </x14:formula1>
          <xm:sqref>A5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4:O22"/>
  <sheetViews>
    <sheetView workbookViewId="0">
      <selection activeCell="C9" sqref="C9"/>
    </sheetView>
  </sheetViews>
  <sheetFormatPr defaultColWidth="9.109375" defaultRowHeight="13.2"/>
  <cols>
    <col min="1" max="6" width="9.109375" style="81"/>
    <col min="7" max="7" width="17" style="81" customWidth="1"/>
    <col min="8" max="10" width="9.109375" style="81"/>
    <col min="11" max="11" width="12.109375" style="81" customWidth="1"/>
    <col min="12" max="12" width="15.109375" style="81" customWidth="1"/>
    <col min="13" max="13" width="15.33203125" style="81" customWidth="1"/>
    <col min="14" max="16384" width="9.109375" style="81"/>
  </cols>
  <sheetData>
    <row r="4" spans="2:15" ht="15.6">
      <c r="B4" s="80" t="s">
        <v>370</v>
      </c>
      <c r="L4" s="80"/>
    </row>
    <row r="5" spans="2:15">
      <c r="B5" s="82" t="s">
        <v>393</v>
      </c>
      <c r="C5" s="82" t="str">
        <f>SampleInputType</f>
        <v>Default</v>
      </c>
      <c r="D5" s="82" t="str">
        <f>LOOKUP($C$5,$C$8:$C$22,D8:D22)</f>
        <v>p-type</v>
      </c>
      <c r="E5" s="82">
        <f t="shared" ref="E5:K5" si="0">LOOKUP($C$5,$C$8:$C$22,E8:E22)</f>
        <v>0.7</v>
      </c>
      <c r="F5" s="82">
        <f t="shared" si="0"/>
        <v>1000000000000000</v>
      </c>
      <c r="G5" s="82" t="str">
        <f t="shared" si="0"/>
        <v>Generalized (1/1)</v>
      </c>
      <c r="H5" s="82">
        <f t="shared" si="0"/>
        <v>5</v>
      </c>
      <c r="I5" s="82">
        <f t="shared" si="0"/>
        <v>0.2</v>
      </c>
      <c r="J5" s="83">
        <f t="shared" si="0"/>
        <v>0.3</v>
      </c>
      <c r="K5" s="82">
        <f t="shared" si="0"/>
        <v>1</v>
      </c>
      <c r="L5" s="84"/>
    </row>
    <row r="6" spans="2:15">
      <c r="L6" s="84"/>
    </row>
    <row r="7" spans="2:15" ht="26.4">
      <c r="B7" s="85"/>
      <c r="C7" s="86" t="s">
        <v>375</v>
      </c>
      <c r="D7" s="86" t="s">
        <v>371</v>
      </c>
      <c r="E7" s="86" t="s">
        <v>20</v>
      </c>
      <c r="F7" s="86" t="s">
        <v>192</v>
      </c>
      <c r="G7" s="86" t="s">
        <v>156</v>
      </c>
      <c r="H7" s="86" t="s">
        <v>372</v>
      </c>
      <c r="I7" s="86" t="s">
        <v>373</v>
      </c>
      <c r="J7" s="86" t="s">
        <v>2</v>
      </c>
      <c r="K7" s="86" t="s">
        <v>374</v>
      </c>
      <c r="L7" s="3"/>
      <c r="M7" s="3"/>
      <c r="N7" s="3"/>
      <c r="O7" s="3"/>
    </row>
    <row r="8" spans="2:15">
      <c r="B8" s="85">
        <v>1</v>
      </c>
      <c r="C8" s="6" t="s">
        <v>395</v>
      </c>
      <c r="D8" s="90" t="s">
        <v>225</v>
      </c>
      <c r="E8" s="90">
        <v>0.7</v>
      </c>
      <c r="F8" s="91">
        <v>1000000000000000</v>
      </c>
      <c r="G8" s="90" t="s">
        <v>353</v>
      </c>
      <c r="H8" s="90">
        <v>5</v>
      </c>
      <c r="I8" s="90">
        <v>0.2</v>
      </c>
      <c r="J8" s="92">
        <v>0.3</v>
      </c>
      <c r="K8" s="90">
        <v>1</v>
      </c>
      <c r="L8" s="84"/>
    </row>
    <row r="9" spans="2:15">
      <c r="B9" s="85">
        <v>2</v>
      </c>
      <c r="C9" s="43" t="s">
        <v>376</v>
      </c>
      <c r="D9" s="87" t="s">
        <v>26</v>
      </c>
      <c r="E9" s="87">
        <v>0.7</v>
      </c>
      <c r="F9" s="88">
        <v>1000000000000000</v>
      </c>
      <c r="G9" s="87" t="s">
        <v>353</v>
      </c>
      <c r="H9" s="87">
        <v>5</v>
      </c>
      <c r="I9" s="87">
        <v>0.2</v>
      </c>
      <c r="J9" s="89">
        <v>0.3</v>
      </c>
      <c r="K9" s="87">
        <v>1</v>
      </c>
      <c r="L9" s="84"/>
    </row>
    <row r="10" spans="2:15">
      <c r="B10" s="85">
        <v>3</v>
      </c>
      <c r="C10" s="43" t="s">
        <v>377</v>
      </c>
      <c r="D10" s="87" t="s">
        <v>26</v>
      </c>
      <c r="E10" s="87">
        <v>0.7</v>
      </c>
      <c r="F10" s="88">
        <v>1000000000000000</v>
      </c>
      <c r="G10" s="87" t="s">
        <v>353</v>
      </c>
      <c r="H10" s="87">
        <v>5</v>
      </c>
      <c r="I10" s="87">
        <v>0.2</v>
      </c>
      <c r="J10" s="89">
        <v>0.3</v>
      </c>
      <c r="K10" s="87">
        <v>1</v>
      </c>
      <c r="L10" s="84"/>
    </row>
    <row r="11" spans="2:15">
      <c r="B11" s="85">
        <v>4</v>
      </c>
      <c r="C11" s="43" t="s">
        <v>378</v>
      </c>
      <c r="D11" s="87" t="s">
        <v>26</v>
      </c>
      <c r="E11" s="87">
        <v>0.7</v>
      </c>
      <c r="F11" s="88">
        <v>1000000000000000</v>
      </c>
      <c r="G11" s="87" t="s">
        <v>353</v>
      </c>
      <c r="H11" s="87">
        <v>5</v>
      </c>
      <c r="I11" s="87">
        <v>0.2</v>
      </c>
      <c r="J11" s="89">
        <v>0.3</v>
      </c>
      <c r="K11" s="87">
        <v>1</v>
      </c>
      <c r="L11" s="84"/>
    </row>
    <row r="12" spans="2:15">
      <c r="B12" s="85">
        <v>5</v>
      </c>
      <c r="C12" s="43" t="s">
        <v>379</v>
      </c>
      <c r="D12" s="87" t="s">
        <v>26</v>
      </c>
      <c r="E12" s="87">
        <v>0.7</v>
      </c>
      <c r="F12" s="88">
        <v>1000000000000000</v>
      </c>
      <c r="G12" s="87" t="s">
        <v>353</v>
      </c>
      <c r="H12" s="87">
        <v>5</v>
      </c>
      <c r="I12" s="87">
        <v>0.2</v>
      </c>
      <c r="J12" s="89">
        <v>0.3</v>
      </c>
      <c r="K12" s="87">
        <v>1</v>
      </c>
      <c r="L12" s="84"/>
    </row>
    <row r="13" spans="2:15">
      <c r="B13" s="85">
        <v>6</v>
      </c>
      <c r="C13" s="43" t="s">
        <v>380</v>
      </c>
      <c r="D13" s="87" t="s">
        <v>26</v>
      </c>
      <c r="E13" s="87">
        <v>0.7</v>
      </c>
      <c r="F13" s="88">
        <v>1000000000000000</v>
      </c>
      <c r="G13" s="87" t="s">
        <v>353</v>
      </c>
      <c r="H13" s="87">
        <v>5</v>
      </c>
      <c r="I13" s="87">
        <v>0.2</v>
      </c>
      <c r="J13" s="89">
        <v>0.3</v>
      </c>
      <c r="K13" s="87">
        <v>1</v>
      </c>
      <c r="L13" s="84"/>
    </row>
    <row r="14" spans="2:15">
      <c r="B14" s="85">
        <v>7</v>
      </c>
      <c r="C14" s="43" t="s">
        <v>381</v>
      </c>
      <c r="D14" s="87" t="s">
        <v>26</v>
      </c>
      <c r="E14" s="87">
        <v>0.7</v>
      </c>
      <c r="F14" s="88">
        <v>1000000000000000</v>
      </c>
      <c r="G14" s="87" t="s">
        <v>353</v>
      </c>
      <c r="H14" s="87">
        <v>5</v>
      </c>
      <c r="I14" s="87">
        <v>0.2</v>
      </c>
      <c r="J14" s="89">
        <v>0.3</v>
      </c>
      <c r="K14" s="87">
        <v>1</v>
      </c>
      <c r="L14" s="84"/>
    </row>
    <row r="15" spans="2:15">
      <c r="B15" s="85">
        <v>8</v>
      </c>
      <c r="C15" s="43" t="s">
        <v>382</v>
      </c>
      <c r="D15" s="87" t="s">
        <v>26</v>
      </c>
      <c r="E15" s="87">
        <v>0.7</v>
      </c>
      <c r="F15" s="88">
        <v>1000000000000000</v>
      </c>
      <c r="G15" s="87" t="s">
        <v>353</v>
      </c>
      <c r="H15" s="87">
        <v>5</v>
      </c>
      <c r="I15" s="87">
        <v>0.2</v>
      </c>
      <c r="J15" s="89">
        <v>0.3</v>
      </c>
      <c r="K15" s="87">
        <v>1</v>
      </c>
      <c r="L15" s="84"/>
    </row>
    <row r="16" spans="2:15">
      <c r="B16" s="85">
        <v>9</v>
      </c>
      <c r="C16" s="43" t="s">
        <v>383</v>
      </c>
      <c r="D16" s="87" t="s">
        <v>26</v>
      </c>
      <c r="E16" s="87">
        <v>0.7</v>
      </c>
      <c r="F16" s="88">
        <v>1000000000000000</v>
      </c>
      <c r="G16" s="87" t="s">
        <v>353</v>
      </c>
      <c r="H16" s="87">
        <v>5</v>
      </c>
      <c r="I16" s="87">
        <v>0.2</v>
      </c>
      <c r="J16" s="89">
        <v>0.3</v>
      </c>
      <c r="K16" s="87">
        <v>1</v>
      </c>
      <c r="L16" s="84"/>
    </row>
    <row r="17" spans="2:12">
      <c r="B17" s="85">
        <v>10</v>
      </c>
      <c r="C17" s="43" t="s">
        <v>384</v>
      </c>
      <c r="D17" s="87" t="s">
        <v>26</v>
      </c>
      <c r="E17" s="87">
        <v>0.7</v>
      </c>
      <c r="F17" s="88">
        <v>1000000000000000</v>
      </c>
      <c r="G17" s="87" t="s">
        <v>353</v>
      </c>
      <c r="H17" s="87">
        <v>5</v>
      </c>
      <c r="I17" s="87">
        <v>0.2</v>
      </c>
      <c r="J17" s="89">
        <v>0.3</v>
      </c>
      <c r="K17" s="87">
        <v>1</v>
      </c>
      <c r="L17" s="84"/>
    </row>
    <row r="18" spans="2:12">
      <c r="B18" s="85">
        <v>11</v>
      </c>
      <c r="C18" s="43" t="s">
        <v>385</v>
      </c>
      <c r="D18" s="87" t="s">
        <v>26</v>
      </c>
      <c r="E18" s="87">
        <v>0.7</v>
      </c>
      <c r="F18" s="88">
        <v>1000000000000000</v>
      </c>
      <c r="G18" s="87" t="s">
        <v>353</v>
      </c>
      <c r="H18" s="87">
        <v>5</v>
      </c>
      <c r="I18" s="87">
        <v>0.2</v>
      </c>
      <c r="J18" s="89">
        <v>0.3</v>
      </c>
      <c r="K18" s="87">
        <v>1</v>
      </c>
      <c r="L18" s="84"/>
    </row>
    <row r="19" spans="2:12">
      <c r="B19" s="85">
        <v>12</v>
      </c>
      <c r="C19" s="43" t="s">
        <v>386</v>
      </c>
      <c r="D19" s="87" t="s">
        <v>26</v>
      </c>
      <c r="E19" s="87">
        <v>0.7</v>
      </c>
      <c r="F19" s="88">
        <v>1000000000000000</v>
      </c>
      <c r="G19" s="87" t="s">
        <v>353</v>
      </c>
      <c r="H19" s="87">
        <v>5</v>
      </c>
      <c r="I19" s="87">
        <v>0.2</v>
      </c>
      <c r="J19" s="89">
        <v>0.3</v>
      </c>
      <c r="K19" s="87">
        <v>1</v>
      </c>
      <c r="L19" s="84"/>
    </row>
    <row r="20" spans="2:12">
      <c r="B20" s="85">
        <v>13</v>
      </c>
      <c r="C20" s="43" t="s">
        <v>387</v>
      </c>
      <c r="D20" s="87" t="s">
        <v>26</v>
      </c>
      <c r="E20" s="87">
        <v>0.7</v>
      </c>
      <c r="F20" s="88">
        <v>1000000000000000</v>
      </c>
      <c r="G20" s="87" t="s">
        <v>353</v>
      </c>
      <c r="H20" s="87">
        <v>5</v>
      </c>
      <c r="I20" s="87">
        <v>0.2</v>
      </c>
      <c r="J20" s="89">
        <v>0.3</v>
      </c>
      <c r="K20" s="87">
        <v>1</v>
      </c>
      <c r="L20" s="84"/>
    </row>
    <row r="21" spans="2:12">
      <c r="B21" s="85">
        <v>14</v>
      </c>
      <c r="C21" s="43" t="s">
        <v>388</v>
      </c>
      <c r="D21" s="87" t="s">
        <v>26</v>
      </c>
      <c r="E21" s="87">
        <v>0.7</v>
      </c>
      <c r="F21" s="88">
        <v>1000000000000000</v>
      </c>
      <c r="G21" s="87" t="s">
        <v>353</v>
      </c>
      <c r="H21" s="87">
        <v>5</v>
      </c>
      <c r="I21" s="87">
        <v>0.2</v>
      </c>
      <c r="J21" s="89">
        <v>0.3</v>
      </c>
      <c r="K21" s="87">
        <v>1</v>
      </c>
    </row>
    <row r="22" spans="2:12">
      <c r="B22" s="85">
        <v>15</v>
      </c>
      <c r="C22" s="43" t="s">
        <v>389</v>
      </c>
      <c r="D22" s="87" t="s">
        <v>26</v>
      </c>
      <c r="E22" s="87">
        <v>0.7</v>
      </c>
      <c r="F22" s="88">
        <v>1000000000000000</v>
      </c>
      <c r="G22" s="87" t="s">
        <v>353</v>
      </c>
      <c r="H22" s="87">
        <v>5</v>
      </c>
      <c r="I22" s="87">
        <v>0.2</v>
      </c>
      <c r="J22" s="89">
        <v>0.3</v>
      </c>
      <c r="K22" s="87">
        <v>1</v>
      </c>
    </row>
  </sheetData>
  <sheetProtection sheet="1" objects="1" scenarios="1" selectLockedCells="1"/>
  <dataValidations count="2">
    <dataValidation type="list" allowBlank="1" showInputMessage="1" showErrorMessage="1" sqref="D8:D22">
      <formula1>type_list</formula1>
    </dataValidation>
    <dataValidation type="list" allowBlank="1" showInputMessage="1" showErrorMessage="1" sqref="G8:G22">
      <formula1>Mode_List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Command!$D$30:$D$36</xm:f>
          </x14:formula1>
          <xm:sqref>H8:I22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T136"/>
  <sheetViews>
    <sheetView showGridLines="0" tabSelected="1" zoomScale="85" zoomScaleNormal="85" workbookViewId="0">
      <selection activeCell="A6" sqref="A6"/>
    </sheetView>
  </sheetViews>
  <sheetFormatPr defaultColWidth="9.109375" defaultRowHeight="13.8"/>
  <cols>
    <col min="1" max="1" width="17.33203125" style="94" customWidth="1"/>
    <col min="2" max="2" width="14.88671875" style="94" customWidth="1"/>
    <col min="3" max="3" width="16" style="94" customWidth="1"/>
    <col min="4" max="4" width="14.88671875" style="94" customWidth="1"/>
    <col min="5" max="6" width="13.6640625" style="94" customWidth="1"/>
    <col min="7" max="7" width="13.44140625" style="94" customWidth="1"/>
    <col min="8" max="8" width="17.6640625" style="94" customWidth="1"/>
    <col min="9" max="9" width="15.6640625" style="94" customWidth="1"/>
    <col min="10" max="11" width="14.109375" style="94" customWidth="1"/>
    <col min="12" max="12" width="12.44140625" style="94" customWidth="1"/>
    <col min="13" max="13" width="11.33203125" style="94" customWidth="1"/>
    <col min="14" max="14" width="9.33203125" style="94" bestFit="1" customWidth="1"/>
    <col min="15" max="15" width="10.5546875" style="94" bestFit="1" customWidth="1"/>
    <col min="16" max="16384" width="9.109375" style="94"/>
  </cols>
  <sheetData>
    <row r="1" spans="1:20" ht="15.75" customHeight="1">
      <c r="C1" s="95"/>
      <c r="E1" s="96"/>
      <c r="K1" s="97" t="s">
        <v>159</v>
      </c>
      <c r="R1" s="96"/>
    </row>
    <row r="2" spans="1:20" s="100" customFormat="1" ht="15" customHeight="1">
      <c r="A2" s="98"/>
      <c r="B2" s="98"/>
      <c r="C2" s="99"/>
      <c r="D2" s="98"/>
      <c r="E2" s="98"/>
      <c r="F2" s="98"/>
      <c r="G2" s="98"/>
      <c r="H2" s="98"/>
      <c r="K2" s="101" t="s">
        <v>48</v>
      </c>
      <c r="L2" s="102" t="s">
        <v>422</v>
      </c>
      <c r="M2" s="103" t="s">
        <v>403</v>
      </c>
      <c r="O2" s="104"/>
      <c r="P2" s="98"/>
      <c r="Q2" s="98"/>
      <c r="R2" s="98"/>
      <c r="S2" s="98"/>
    </row>
    <row r="3" spans="1:20" s="100" customFormat="1" ht="15" customHeight="1">
      <c r="A3" s="105"/>
      <c r="B3" s="106"/>
      <c r="C3" s="107"/>
      <c r="D3" s="108"/>
      <c r="E3" s="108"/>
      <c r="F3" s="108"/>
      <c r="G3" s="109"/>
      <c r="H3" s="98"/>
      <c r="M3" s="98"/>
      <c r="N3" s="98"/>
      <c r="P3" s="98"/>
      <c r="Q3" s="98"/>
      <c r="R3" s="98"/>
      <c r="S3" s="98"/>
    </row>
    <row r="4" spans="1:20" s="100" customFormat="1" ht="15" customHeight="1">
      <c r="A4" s="110" t="s">
        <v>157</v>
      </c>
      <c r="B4" s="110"/>
      <c r="C4" s="111"/>
      <c r="D4" s="110"/>
      <c r="E4" s="110" t="s">
        <v>13</v>
      </c>
      <c r="F4" s="110"/>
      <c r="G4" s="110"/>
      <c r="I4" s="110" t="s">
        <v>160</v>
      </c>
      <c r="J4" s="112"/>
      <c r="K4" s="112"/>
      <c r="M4" s="104"/>
      <c r="O4" s="104"/>
      <c r="P4" s="104"/>
      <c r="Q4" s="113"/>
      <c r="R4" s="98"/>
      <c r="S4" s="98"/>
    </row>
    <row r="5" spans="1:20" ht="35.25" customHeight="1">
      <c r="A5" s="114" t="s">
        <v>14</v>
      </c>
      <c r="B5" s="115" t="s">
        <v>158</v>
      </c>
      <c r="C5" s="115" t="s">
        <v>162</v>
      </c>
      <c r="D5" s="116" t="s">
        <v>262</v>
      </c>
      <c r="E5" s="114" t="s">
        <v>20</v>
      </c>
      <c r="F5" s="115" t="s">
        <v>413</v>
      </c>
      <c r="G5" s="117" t="s">
        <v>171</v>
      </c>
      <c r="H5" s="118" t="s">
        <v>156</v>
      </c>
      <c r="I5" s="115" t="s">
        <v>15</v>
      </c>
      <c r="J5" s="115" t="s">
        <v>19</v>
      </c>
      <c r="K5" s="115" t="s">
        <v>22</v>
      </c>
      <c r="L5" s="309"/>
      <c r="M5" s="310"/>
      <c r="N5" s="310"/>
      <c r="O5" s="100"/>
      <c r="P5" s="100"/>
      <c r="Q5" s="113"/>
      <c r="R5" s="98"/>
      <c r="S5" s="98"/>
      <c r="T5" s="100"/>
    </row>
    <row r="6" spans="1:20" s="132" customFormat="1" ht="15.75" customHeight="1">
      <c r="A6" s="119" t="s">
        <v>431</v>
      </c>
      <c r="B6" s="120">
        <v>7.0000000000000007E-2</v>
      </c>
      <c r="C6" s="121">
        <v>40</v>
      </c>
      <c r="D6" s="122" t="s">
        <v>26</v>
      </c>
      <c r="E6" s="123">
        <v>0.7</v>
      </c>
      <c r="F6" s="124">
        <v>1000000000000000</v>
      </c>
      <c r="G6" s="125">
        <v>0</v>
      </c>
      <c r="H6" s="126" t="s">
        <v>353</v>
      </c>
      <c r="I6" s="127">
        <f>MeasDate</f>
        <v>44749</v>
      </c>
      <c r="J6" s="128">
        <f>MeasTime</f>
        <v>0.70483796296296297</v>
      </c>
      <c r="K6" s="129" t="s">
        <v>430</v>
      </c>
      <c r="L6" s="309"/>
      <c r="M6" s="310"/>
      <c r="N6" s="310"/>
      <c r="O6" s="130"/>
      <c r="P6" s="130"/>
      <c r="Q6" s="100"/>
      <c r="R6" s="130"/>
      <c r="S6" s="131"/>
      <c r="T6" s="130"/>
    </row>
    <row r="7" spans="1:20" ht="18.75" customHeight="1">
      <c r="A7" s="110" t="s">
        <v>23</v>
      </c>
      <c r="B7" s="110"/>
      <c r="C7" s="104"/>
      <c r="D7" s="103"/>
      <c r="E7" s="133"/>
      <c r="F7" s="134"/>
      <c r="G7" s="103" t="s">
        <v>259</v>
      </c>
      <c r="H7" s="104"/>
      <c r="I7" s="104"/>
      <c r="J7" s="103"/>
      <c r="K7" s="135"/>
      <c r="M7" s="110" t="s">
        <v>255</v>
      </c>
      <c r="O7" s="104"/>
      <c r="P7" s="98"/>
      <c r="Q7" s="98"/>
      <c r="R7" s="98"/>
      <c r="S7" s="98"/>
      <c r="T7" s="100"/>
    </row>
    <row r="8" spans="1:20" ht="49.5" customHeight="1">
      <c r="A8" s="114" t="s">
        <v>25</v>
      </c>
      <c r="B8" s="115" t="s">
        <v>414</v>
      </c>
      <c r="C8" s="115" t="s">
        <v>415</v>
      </c>
      <c r="D8" s="115" t="s">
        <v>416</v>
      </c>
      <c r="E8" s="115" t="s">
        <v>263</v>
      </c>
      <c r="F8" s="115" t="s">
        <v>417</v>
      </c>
      <c r="G8" s="115" t="s">
        <v>418</v>
      </c>
      <c r="H8" s="115" t="s">
        <v>419</v>
      </c>
      <c r="I8" s="115" t="s">
        <v>420</v>
      </c>
      <c r="J8" s="115" t="s">
        <v>421</v>
      </c>
      <c r="K8" s="136" t="s">
        <v>269</v>
      </c>
      <c r="L8" s="136" t="s">
        <v>411</v>
      </c>
      <c r="M8" s="311" t="str">
        <f ca="1">RefCellErrorMsg&amp;MCDErrorMsg&amp;LightBiasErrorMsg&amp;AirVoltageError&amp;AnalysisModeErrorMsg</f>
        <v/>
      </c>
      <c r="N8" s="312"/>
      <c r="O8" s="313"/>
      <c r="P8" s="98"/>
      <c r="Q8" s="98"/>
      <c r="R8" s="98"/>
      <c r="S8" s="98"/>
      <c r="T8" s="100"/>
    </row>
    <row r="9" spans="1:20" s="132" customFormat="1" ht="17.25" customHeight="1">
      <c r="A9" s="137">
        <f>MeasuredLifetime</f>
        <v>363.87198498951619</v>
      </c>
      <c r="B9" s="138">
        <f>SheetResistance</f>
        <v>896.43721466027193</v>
      </c>
      <c r="C9" s="139">
        <f>MeasuredResistivity</f>
        <v>62.750605026219041</v>
      </c>
      <c r="D9" s="140">
        <f>Jo</f>
        <v>1.1968272322696375E-12</v>
      </c>
      <c r="E9" s="138">
        <f>TauFitIntercept</f>
        <v>874.40015366939815</v>
      </c>
      <c r="F9" s="141">
        <f>MinApparentCD</f>
        <v>139531251212923.47</v>
      </c>
      <c r="G9" s="141">
        <f>MaxApparentCD</f>
        <v>8318371307832016</v>
      </c>
      <c r="H9" s="141">
        <f>BiasPtCD</f>
        <v>0</v>
      </c>
      <c r="I9" s="141">
        <f>Traps</f>
        <v>0</v>
      </c>
      <c r="J9" s="141">
        <f>SampleDoping</f>
        <v>110920962330208.83</v>
      </c>
      <c r="K9" s="142">
        <f ca="1">ImpliedVoc1sun</f>
        <v>0.59745898057031177</v>
      </c>
      <c r="L9" s="142">
        <f ca="1">ImpliedFF</f>
        <v>73.669914723992207</v>
      </c>
      <c r="M9" s="314"/>
      <c r="N9" s="315"/>
      <c r="O9" s="316"/>
      <c r="P9" s="98"/>
      <c r="Q9" s="131"/>
      <c r="R9" s="131"/>
      <c r="S9" s="131"/>
      <c r="T9" s="130"/>
    </row>
    <row r="10" spans="1:20" s="132" customFormat="1" ht="18" customHeight="1">
      <c r="A10" s="301" t="str">
        <f>LifetimeTextLabel</f>
        <v>Lifetime = 363.87 µs @ 1.0E+15 cm-3</v>
      </c>
      <c r="B10" s="302"/>
      <c r="C10" s="302"/>
      <c r="D10" s="302"/>
      <c r="E10" s="302"/>
      <c r="F10" s="302"/>
      <c r="G10" s="302"/>
      <c r="H10" s="302"/>
      <c r="I10" s="303"/>
      <c r="J10" s="307" t="str">
        <f>PassFailMsg</f>
        <v/>
      </c>
      <c r="K10" s="143"/>
      <c r="M10" s="314"/>
      <c r="N10" s="315"/>
      <c r="O10" s="316"/>
      <c r="P10" s="143"/>
      <c r="Q10" s="144"/>
      <c r="R10" s="144"/>
      <c r="S10" s="144"/>
    </row>
    <row r="11" spans="1:20" ht="11.25" customHeight="1">
      <c r="A11" s="304"/>
      <c r="B11" s="305"/>
      <c r="C11" s="305"/>
      <c r="D11" s="305"/>
      <c r="E11" s="305"/>
      <c r="F11" s="305"/>
      <c r="G11" s="305"/>
      <c r="H11" s="305"/>
      <c r="I11" s="306"/>
      <c r="J11" s="308"/>
      <c r="K11" s="96"/>
      <c r="M11" s="317"/>
      <c r="N11" s="318"/>
      <c r="O11" s="319"/>
      <c r="P11" s="96"/>
      <c r="Q11" s="96"/>
      <c r="R11" s="96"/>
      <c r="S11" s="96"/>
    </row>
    <row r="12" spans="1:20">
      <c r="A12" s="145"/>
      <c r="B12" s="145"/>
      <c r="C12" s="145"/>
      <c r="D12" s="145"/>
      <c r="E12" s="98"/>
      <c r="F12" s="96"/>
      <c r="G12" s="96"/>
      <c r="H12" s="96"/>
      <c r="I12" s="96"/>
      <c r="J12" s="96"/>
      <c r="K12" s="96"/>
      <c r="L12" s="96"/>
      <c r="M12" s="96"/>
      <c r="N12" s="96"/>
      <c r="O12" s="96"/>
      <c r="P12" s="96"/>
      <c r="Q12" s="96"/>
      <c r="R12" s="96"/>
      <c r="S12" s="96"/>
    </row>
    <row r="13" spans="1:20">
      <c r="A13" s="146"/>
      <c r="B13" s="131"/>
      <c r="C13" s="147"/>
      <c r="D13" s="148"/>
      <c r="E13" s="98"/>
      <c r="F13" s="96"/>
      <c r="G13" s="96"/>
      <c r="H13" s="96"/>
      <c r="I13" s="96"/>
      <c r="J13" s="96"/>
      <c r="K13" s="96"/>
      <c r="L13" s="96"/>
      <c r="M13" s="96"/>
      <c r="N13" s="96"/>
      <c r="O13" s="96"/>
      <c r="P13" s="96"/>
      <c r="Q13" s="96"/>
      <c r="R13" s="96"/>
      <c r="S13" s="96"/>
    </row>
    <row r="14" spans="1:20">
      <c r="A14" s="98"/>
      <c r="B14" s="98"/>
      <c r="C14" s="98"/>
      <c r="D14" s="98"/>
      <c r="E14" s="98"/>
      <c r="F14" s="96"/>
      <c r="G14" s="96"/>
      <c r="H14" s="96"/>
      <c r="I14" s="96"/>
      <c r="J14" s="96"/>
      <c r="K14" s="96"/>
      <c r="L14" s="96"/>
      <c r="M14" s="96"/>
      <c r="N14" s="96"/>
      <c r="O14" s="96"/>
      <c r="P14" s="96"/>
      <c r="Q14" s="96"/>
      <c r="R14" s="96"/>
      <c r="S14" s="96"/>
    </row>
    <row r="15" spans="1:20">
      <c r="A15" s="145"/>
      <c r="B15" s="145"/>
      <c r="C15" s="145"/>
      <c r="D15" s="145"/>
      <c r="E15" s="98"/>
      <c r="F15" s="96"/>
      <c r="G15" s="96"/>
      <c r="H15" s="96"/>
      <c r="I15" s="96"/>
      <c r="J15" s="96"/>
      <c r="K15" s="96"/>
      <c r="L15" s="96"/>
      <c r="M15" s="96"/>
      <c r="N15" s="96"/>
      <c r="O15" s="96"/>
      <c r="P15" s="96"/>
      <c r="Q15" s="96"/>
      <c r="R15" s="96"/>
      <c r="S15" s="96"/>
    </row>
    <row r="16" spans="1:20">
      <c r="A16" s="146"/>
      <c r="B16" s="98"/>
      <c r="C16" s="149"/>
      <c r="D16" s="150"/>
      <c r="E16" s="98"/>
      <c r="F16" s="96"/>
      <c r="G16" s="96"/>
      <c r="H16" s="96"/>
      <c r="I16" s="96"/>
      <c r="J16" s="96"/>
      <c r="K16" s="96"/>
      <c r="L16" s="96"/>
      <c r="M16" s="96"/>
      <c r="N16" s="96"/>
      <c r="O16" s="96"/>
      <c r="P16" s="96"/>
      <c r="Q16" s="96"/>
      <c r="R16" s="96"/>
      <c r="S16" s="96"/>
    </row>
    <row r="17" spans="1:19">
      <c r="A17" s="146"/>
      <c r="B17" s="98"/>
      <c r="C17" s="149"/>
      <c r="D17" s="150"/>
      <c r="E17" s="98"/>
      <c r="F17" s="96"/>
      <c r="G17" s="96"/>
      <c r="H17" s="96"/>
      <c r="I17" s="96"/>
      <c r="J17" s="96"/>
      <c r="K17" s="96"/>
      <c r="L17" s="96"/>
      <c r="M17" s="96"/>
      <c r="N17" s="96"/>
      <c r="O17" s="96"/>
      <c r="P17" s="96"/>
      <c r="Q17" s="96"/>
      <c r="R17" s="96"/>
      <c r="S17" s="96"/>
    </row>
    <row r="18" spans="1:19">
      <c r="A18" s="98"/>
      <c r="B18" s="98"/>
      <c r="C18" s="98"/>
      <c r="D18" s="98"/>
      <c r="E18" s="98"/>
      <c r="F18" s="96"/>
      <c r="G18" s="96"/>
      <c r="H18" s="96"/>
      <c r="I18" s="96"/>
      <c r="J18" s="96"/>
      <c r="K18" s="96"/>
      <c r="L18" s="96"/>
      <c r="M18" s="96"/>
      <c r="N18" s="96"/>
      <c r="O18" s="96"/>
      <c r="P18" s="96"/>
      <c r="Q18" s="96"/>
      <c r="R18" s="96"/>
      <c r="S18" s="96"/>
    </row>
    <row r="19" spans="1:19">
      <c r="A19" s="98"/>
      <c r="B19" s="98"/>
      <c r="C19" s="98"/>
      <c r="D19" s="98"/>
      <c r="E19" s="98"/>
      <c r="F19" s="96"/>
      <c r="G19" s="96"/>
      <c r="H19" s="96"/>
      <c r="I19" s="96"/>
      <c r="J19" s="96"/>
      <c r="K19" s="96"/>
      <c r="L19" s="96"/>
      <c r="M19" s="96"/>
      <c r="N19" s="96"/>
      <c r="O19" s="96"/>
      <c r="P19" s="96"/>
      <c r="Q19" s="96"/>
      <c r="R19" s="96"/>
      <c r="S19" s="96"/>
    </row>
    <row r="20" spans="1:19">
      <c r="A20" s="96"/>
      <c r="B20" s="96"/>
      <c r="C20" s="96"/>
      <c r="D20" s="96"/>
      <c r="E20" s="96"/>
      <c r="F20" s="96"/>
      <c r="G20" s="96"/>
      <c r="H20" s="96"/>
      <c r="I20" s="96"/>
      <c r="J20" s="96"/>
      <c r="K20" s="96"/>
      <c r="L20" s="96"/>
      <c r="M20" s="96"/>
      <c r="N20" s="96"/>
      <c r="O20" s="96"/>
      <c r="P20" s="96"/>
      <c r="Q20" s="96"/>
      <c r="R20" s="96"/>
      <c r="S20" s="96"/>
    </row>
    <row r="21" spans="1:19">
      <c r="A21" s="96"/>
      <c r="B21" s="96"/>
      <c r="C21" s="96"/>
      <c r="D21" s="96"/>
      <c r="E21" s="96"/>
      <c r="F21" s="96"/>
      <c r="G21" s="96"/>
      <c r="H21" s="96"/>
      <c r="I21" s="96"/>
      <c r="J21" s="96"/>
      <c r="K21" s="96"/>
      <c r="L21" s="96"/>
      <c r="M21" s="96"/>
      <c r="N21" s="96"/>
      <c r="O21" s="96"/>
      <c r="P21" s="96"/>
      <c r="Q21" s="96"/>
      <c r="R21" s="96"/>
      <c r="S21" s="96"/>
    </row>
    <row r="22" spans="1:19">
      <c r="A22" s="96"/>
      <c r="B22" s="96"/>
      <c r="C22" s="96"/>
      <c r="D22" s="96"/>
      <c r="E22" s="96"/>
      <c r="F22" s="96"/>
      <c r="G22" s="96"/>
      <c r="H22" s="96"/>
      <c r="I22" s="96"/>
      <c r="J22" s="96"/>
      <c r="K22" s="96"/>
      <c r="L22" s="96"/>
      <c r="M22" s="96"/>
      <c r="N22" s="96"/>
      <c r="O22" s="96"/>
      <c r="P22" s="96"/>
      <c r="Q22" s="96"/>
      <c r="R22" s="96"/>
      <c r="S22" s="96"/>
    </row>
    <row r="23" spans="1:19">
      <c r="A23" s="96"/>
      <c r="B23" s="96"/>
      <c r="C23" s="96"/>
      <c r="D23" s="96"/>
      <c r="E23" s="96"/>
      <c r="F23" s="96"/>
      <c r="G23" s="96"/>
      <c r="H23" s="96"/>
      <c r="I23" s="96"/>
      <c r="J23" s="96"/>
      <c r="K23" s="96"/>
      <c r="L23" s="96"/>
      <c r="M23" s="96"/>
      <c r="N23" s="96"/>
      <c r="O23" s="96"/>
      <c r="P23" s="96"/>
      <c r="Q23" s="96"/>
      <c r="R23" s="96"/>
      <c r="S23" s="96"/>
    </row>
    <row r="24" spans="1:19">
      <c r="A24" s="96"/>
      <c r="B24" s="96"/>
      <c r="C24" s="96"/>
      <c r="D24" s="96"/>
      <c r="E24" s="96"/>
      <c r="F24" s="96"/>
      <c r="G24" s="96"/>
      <c r="H24" s="96"/>
      <c r="I24" s="96"/>
      <c r="J24" s="96"/>
      <c r="K24" s="96"/>
      <c r="L24" s="96"/>
      <c r="M24" s="96"/>
      <c r="N24" s="96"/>
      <c r="O24" s="96"/>
      <c r="P24" s="96"/>
      <c r="Q24" s="96"/>
      <c r="R24" s="96"/>
      <c r="S24" s="96"/>
    </row>
    <row r="25" spans="1:19">
      <c r="A25" s="96"/>
      <c r="B25" s="96"/>
      <c r="C25" s="96"/>
      <c r="D25" s="96"/>
      <c r="E25" s="96"/>
      <c r="F25" s="96"/>
      <c r="G25" s="96"/>
      <c r="H25" s="96"/>
      <c r="I25" s="96"/>
      <c r="J25" s="96"/>
      <c r="K25" s="96"/>
      <c r="L25" s="96"/>
      <c r="M25" s="96"/>
      <c r="N25" s="96"/>
      <c r="O25" s="96"/>
      <c r="P25" s="96"/>
      <c r="Q25" s="96"/>
      <c r="R25" s="96"/>
      <c r="S25" s="96"/>
    </row>
    <row r="26" spans="1:19">
      <c r="A26" s="96"/>
      <c r="B26" s="96"/>
      <c r="C26" s="96"/>
      <c r="D26" s="96"/>
      <c r="E26" s="96"/>
      <c r="F26" s="96"/>
      <c r="G26" s="96"/>
      <c r="H26" s="96"/>
      <c r="I26" s="96"/>
      <c r="J26" s="96"/>
      <c r="K26" s="96"/>
      <c r="L26" s="96"/>
      <c r="M26" s="96"/>
      <c r="N26" s="96"/>
      <c r="O26" s="96"/>
      <c r="P26" s="96"/>
      <c r="Q26" s="96"/>
      <c r="R26" s="96"/>
      <c r="S26" s="96"/>
    </row>
    <row r="27" spans="1:19">
      <c r="A27" s="96"/>
      <c r="B27" s="96"/>
      <c r="C27" s="96"/>
      <c r="D27" s="96"/>
      <c r="E27" s="96"/>
      <c r="F27" s="96"/>
      <c r="G27" s="96"/>
      <c r="H27" s="96"/>
      <c r="I27" s="96"/>
      <c r="J27" s="96"/>
      <c r="K27" s="96"/>
      <c r="L27" s="96"/>
      <c r="M27" s="96"/>
      <c r="N27" s="96"/>
      <c r="O27" s="96"/>
      <c r="P27" s="96"/>
      <c r="Q27" s="96"/>
      <c r="R27" s="96"/>
      <c r="S27" s="96"/>
    </row>
    <row r="28" spans="1:19">
      <c r="A28" s="96"/>
      <c r="B28" s="96"/>
      <c r="C28" s="96"/>
      <c r="D28" s="96"/>
      <c r="E28" s="96"/>
      <c r="F28" s="96"/>
      <c r="G28" s="96"/>
      <c r="H28" s="96"/>
      <c r="I28" s="96"/>
      <c r="J28" s="96"/>
      <c r="K28" s="96"/>
      <c r="L28" s="96"/>
      <c r="M28" s="96"/>
      <c r="N28" s="96"/>
      <c r="O28" s="96"/>
      <c r="P28" s="96"/>
      <c r="Q28" s="96"/>
      <c r="R28" s="96"/>
      <c r="S28" s="96"/>
    </row>
    <row r="29" spans="1:19">
      <c r="A29" s="96"/>
      <c r="B29" s="96"/>
      <c r="C29" s="96"/>
      <c r="D29" s="96"/>
      <c r="E29" s="96"/>
      <c r="F29" s="96"/>
      <c r="G29" s="96"/>
      <c r="H29" s="96"/>
      <c r="I29" s="96"/>
      <c r="J29" s="96"/>
      <c r="K29" s="96"/>
      <c r="L29" s="96"/>
      <c r="M29" s="96"/>
      <c r="N29" s="96"/>
      <c r="O29" s="96"/>
      <c r="P29" s="96"/>
      <c r="Q29" s="96"/>
      <c r="R29" s="96"/>
      <c r="S29" s="96"/>
    </row>
    <row r="30" spans="1:19">
      <c r="A30" s="96"/>
      <c r="B30" s="96"/>
      <c r="C30" s="96"/>
      <c r="D30" s="96"/>
      <c r="E30" s="96"/>
      <c r="F30" s="96"/>
      <c r="G30" s="96"/>
      <c r="H30" s="96"/>
      <c r="I30" s="96"/>
      <c r="J30" s="96"/>
      <c r="K30" s="96"/>
      <c r="L30" s="96"/>
      <c r="M30" s="96"/>
      <c r="N30" s="96"/>
      <c r="O30" s="96"/>
      <c r="P30" s="96"/>
      <c r="Q30" s="96"/>
      <c r="R30" s="96"/>
      <c r="S30" s="96"/>
    </row>
    <row r="31" spans="1:19">
      <c r="A31" s="96"/>
      <c r="B31" s="96"/>
      <c r="C31" s="96"/>
      <c r="D31" s="96"/>
      <c r="E31" s="96"/>
      <c r="F31" s="96"/>
      <c r="G31" s="96"/>
      <c r="H31" s="96"/>
      <c r="I31" s="96"/>
      <c r="J31" s="96"/>
      <c r="K31" s="96"/>
      <c r="L31" s="96"/>
      <c r="M31" s="96"/>
      <c r="N31" s="96"/>
      <c r="O31" s="96"/>
      <c r="P31" s="96"/>
      <c r="Q31" s="96"/>
      <c r="R31" s="96"/>
      <c r="S31" s="96"/>
    </row>
    <row r="32" spans="1:19">
      <c r="A32" s="96"/>
      <c r="B32" s="96"/>
      <c r="C32" s="96"/>
      <c r="D32" s="96"/>
      <c r="E32" s="96"/>
      <c r="F32" s="96"/>
      <c r="G32" s="96"/>
      <c r="H32" s="96"/>
      <c r="I32" s="96"/>
      <c r="J32" s="96"/>
      <c r="K32" s="96"/>
      <c r="L32" s="96"/>
      <c r="M32" s="96"/>
      <c r="N32" s="96"/>
      <c r="O32" s="96"/>
      <c r="P32" s="96"/>
      <c r="Q32" s="96"/>
      <c r="R32" s="96"/>
      <c r="S32" s="96"/>
    </row>
    <row r="33" spans="1:19">
      <c r="A33" s="96"/>
      <c r="B33" s="96"/>
      <c r="C33" s="96"/>
      <c r="D33" s="96"/>
      <c r="E33" s="96"/>
      <c r="F33" s="96"/>
      <c r="G33" s="96"/>
      <c r="H33" s="96"/>
      <c r="I33" s="96"/>
      <c r="J33" s="96"/>
      <c r="K33" s="96"/>
      <c r="L33" s="96"/>
      <c r="M33" s="96"/>
      <c r="N33" s="96"/>
      <c r="O33" s="96"/>
      <c r="P33" s="96"/>
      <c r="Q33" s="96"/>
      <c r="R33" s="96"/>
      <c r="S33" s="96"/>
    </row>
    <row r="34" spans="1:19">
      <c r="A34" s="96"/>
      <c r="B34" s="96"/>
      <c r="C34" s="96"/>
      <c r="D34" s="96"/>
      <c r="E34" s="96"/>
      <c r="F34" s="96"/>
      <c r="G34" s="96"/>
      <c r="H34" s="96"/>
      <c r="I34" s="96"/>
      <c r="J34" s="96"/>
      <c r="K34" s="96"/>
      <c r="L34" s="96"/>
      <c r="M34" s="96"/>
      <c r="N34" s="96"/>
      <c r="O34" s="96"/>
      <c r="P34" s="96"/>
      <c r="Q34" s="96"/>
      <c r="R34" s="96"/>
      <c r="S34" s="96"/>
    </row>
    <row r="35" spans="1:19">
      <c r="A35" s="96"/>
      <c r="B35" s="96"/>
      <c r="C35" s="96"/>
      <c r="D35" s="96"/>
      <c r="E35" s="96"/>
      <c r="F35" s="96"/>
      <c r="G35" s="96"/>
      <c r="H35" s="96"/>
      <c r="I35" s="96"/>
      <c r="J35" s="96"/>
      <c r="K35" s="96"/>
      <c r="L35" s="96"/>
      <c r="M35" s="96"/>
      <c r="N35" s="96"/>
      <c r="O35" s="96"/>
      <c r="P35" s="96"/>
      <c r="Q35" s="96"/>
      <c r="R35" s="96"/>
      <c r="S35" s="96"/>
    </row>
    <row r="36" spans="1:19">
      <c r="A36" s="96"/>
      <c r="B36" s="96"/>
      <c r="C36" s="96"/>
      <c r="D36" s="96"/>
      <c r="E36" s="96"/>
      <c r="F36" s="96"/>
      <c r="G36" s="96"/>
      <c r="H36" s="96"/>
      <c r="I36" s="96"/>
      <c r="J36" s="96"/>
      <c r="K36" s="96"/>
      <c r="L36" s="96"/>
      <c r="M36" s="96"/>
      <c r="N36" s="96"/>
      <c r="O36" s="96"/>
      <c r="P36" s="96"/>
      <c r="Q36" s="96"/>
      <c r="R36" s="96"/>
      <c r="S36" s="96"/>
    </row>
    <row r="37" spans="1:19">
      <c r="A37" s="96"/>
      <c r="B37" s="96"/>
      <c r="C37" s="96"/>
      <c r="D37" s="96"/>
      <c r="E37" s="96"/>
      <c r="F37" s="96"/>
      <c r="G37" s="96"/>
      <c r="H37" s="96"/>
      <c r="I37" s="96"/>
      <c r="J37" s="96"/>
      <c r="K37" s="96"/>
      <c r="L37" s="96"/>
      <c r="M37" s="96"/>
      <c r="N37" s="96"/>
      <c r="O37" s="96"/>
      <c r="P37" s="96"/>
      <c r="Q37" s="96"/>
      <c r="R37" s="96"/>
      <c r="S37" s="96"/>
    </row>
    <row r="38" spans="1:19">
      <c r="A38" s="96"/>
      <c r="B38" s="96"/>
      <c r="C38" s="96"/>
      <c r="D38" s="96"/>
      <c r="E38" s="96"/>
      <c r="F38" s="96"/>
      <c r="G38" s="96"/>
      <c r="H38" s="96"/>
      <c r="I38" s="96"/>
      <c r="J38" s="96"/>
      <c r="K38" s="96"/>
      <c r="L38" s="96"/>
      <c r="M38" s="96"/>
      <c r="N38" s="96"/>
      <c r="O38" s="96"/>
      <c r="P38" s="96"/>
      <c r="Q38" s="96"/>
      <c r="R38" s="96"/>
      <c r="S38" s="96"/>
    </row>
    <row r="39" spans="1:19">
      <c r="A39" s="96"/>
      <c r="B39" s="96"/>
      <c r="C39" s="96"/>
      <c r="D39" s="96"/>
      <c r="E39" s="96"/>
      <c r="F39" s="96"/>
      <c r="G39" s="96"/>
      <c r="H39" s="96"/>
      <c r="I39" s="96"/>
      <c r="J39" s="96"/>
      <c r="K39" s="96"/>
      <c r="L39" s="96"/>
      <c r="M39" s="96"/>
      <c r="N39" s="96"/>
      <c r="O39" s="96"/>
      <c r="P39" s="96"/>
      <c r="Q39" s="96"/>
      <c r="R39" s="96"/>
      <c r="S39" s="96"/>
    </row>
    <row r="40" spans="1:19">
      <c r="A40" s="96"/>
      <c r="B40" s="96"/>
      <c r="C40" s="96"/>
      <c r="D40" s="96"/>
      <c r="E40" s="96"/>
      <c r="F40" s="96"/>
      <c r="G40" s="96"/>
      <c r="H40" s="96"/>
      <c r="I40" s="96"/>
      <c r="J40" s="96"/>
      <c r="K40" s="96"/>
      <c r="L40" s="96"/>
      <c r="M40" s="96"/>
      <c r="N40" s="96"/>
      <c r="O40" s="96"/>
      <c r="P40" s="96"/>
      <c r="Q40" s="96"/>
      <c r="R40" s="96"/>
      <c r="S40" s="96"/>
    </row>
    <row r="41" spans="1:19">
      <c r="A41" s="96"/>
      <c r="B41" s="96"/>
      <c r="C41" s="96"/>
      <c r="D41" s="96"/>
      <c r="E41" s="96"/>
      <c r="F41" s="96"/>
      <c r="G41" s="96"/>
      <c r="H41" s="96"/>
      <c r="I41" s="96"/>
      <c r="J41" s="96"/>
      <c r="K41" s="96"/>
      <c r="L41" s="96"/>
      <c r="M41" s="96"/>
      <c r="N41" s="96"/>
      <c r="O41" s="96"/>
      <c r="P41" s="96"/>
      <c r="Q41" s="96"/>
      <c r="R41" s="96"/>
      <c r="S41" s="96"/>
    </row>
    <row r="42" spans="1:19">
      <c r="A42" s="96"/>
      <c r="B42" s="96"/>
      <c r="C42" s="96"/>
      <c r="D42" s="96"/>
      <c r="E42" s="96"/>
      <c r="F42" s="96"/>
      <c r="G42" s="96"/>
      <c r="H42" s="96"/>
      <c r="I42" s="96"/>
      <c r="J42" s="96"/>
      <c r="K42" s="96"/>
      <c r="L42" s="96"/>
      <c r="M42" s="96"/>
      <c r="N42" s="96"/>
      <c r="O42" s="96"/>
      <c r="P42" s="96"/>
      <c r="Q42" s="96"/>
      <c r="R42" s="96"/>
      <c r="S42" s="96"/>
    </row>
    <row r="43" spans="1:19">
      <c r="A43" s="96"/>
      <c r="B43" s="96"/>
      <c r="C43" s="96"/>
      <c r="D43" s="96"/>
      <c r="E43" s="96"/>
      <c r="F43" s="96"/>
      <c r="G43" s="96"/>
      <c r="H43" s="96"/>
      <c r="I43" s="96"/>
      <c r="J43" s="96"/>
      <c r="K43" s="96"/>
      <c r="L43" s="96"/>
      <c r="M43" s="96"/>
      <c r="N43" s="96"/>
      <c r="O43" s="96"/>
      <c r="P43" s="96"/>
      <c r="Q43" s="96"/>
      <c r="R43" s="96"/>
      <c r="S43" s="96"/>
    </row>
    <row r="44" spans="1:19">
      <c r="A44" s="96"/>
      <c r="B44" s="96"/>
      <c r="C44" s="96"/>
      <c r="D44" s="96"/>
      <c r="E44" s="96"/>
      <c r="F44" s="96"/>
      <c r="G44" s="96"/>
      <c r="H44" s="96"/>
      <c r="I44" s="96"/>
      <c r="J44" s="96"/>
      <c r="K44" s="96"/>
      <c r="L44" s="96"/>
      <c r="M44" s="96"/>
      <c r="N44" s="96"/>
      <c r="O44" s="96"/>
      <c r="P44" s="96"/>
      <c r="Q44" s="96"/>
      <c r="R44" s="96"/>
      <c r="S44" s="96"/>
    </row>
    <row r="45" spans="1:19">
      <c r="A45" s="96"/>
      <c r="B45" s="96"/>
      <c r="C45" s="96"/>
      <c r="D45" s="96"/>
      <c r="E45" s="96"/>
      <c r="F45" s="96"/>
      <c r="G45" s="96"/>
      <c r="H45" s="96"/>
      <c r="I45" s="96"/>
      <c r="J45" s="96"/>
      <c r="K45" s="96"/>
      <c r="L45" s="96"/>
      <c r="M45" s="96"/>
      <c r="N45" s="96"/>
      <c r="O45" s="96"/>
      <c r="P45" s="96"/>
      <c r="Q45" s="96"/>
      <c r="R45" s="96"/>
      <c r="S45" s="96"/>
    </row>
    <row r="46" spans="1:19">
      <c r="A46" s="96"/>
      <c r="B46" s="96"/>
      <c r="C46" s="96"/>
      <c r="D46" s="96"/>
      <c r="E46" s="96"/>
      <c r="F46" s="96"/>
      <c r="G46" s="96"/>
      <c r="H46" s="96"/>
      <c r="I46" s="96"/>
      <c r="J46" s="96"/>
      <c r="K46" s="96"/>
      <c r="L46" s="96"/>
      <c r="M46" s="96"/>
      <c r="N46" s="96"/>
      <c r="O46" s="96"/>
      <c r="P46" s="96"/>
      <c r="Q46" s="96"/>
      <c r="R46" s="96"/>
      <c r="S46" s="96"/>
    </row>
    <row r="47" spans="1:19">
      <c r="A47" s="96"/>
      <c r="B47" s="96"/>
      <c r="C47" s="96"/>
      <c r="D47" s="96"/>
      <c r="E47" s="96"/>
      <c r="F47" s="96"/>
      <c r="G47" s="96"/>
      <c r="H47" s="96"/>
      <c r="I47" s="96"/>
      <c r="J47" s="96"/>
      <c r="K47" s="96"/>
      <c r="L47" s="96"/>
      <c r="M47" s="96"/>
      <c r="N47" s="96"/>
      <c r="O47" s="96"/>
      <c r="P47" s="96"/>
      <c r="Q47" s="96"/>
      <c r="R47" s="96"/>
      <c r="S47" s="96"/>
    </row>
    <row r="48" spans="1:19">
      <c r="A48" s="96"/>
      <c r="B48" s="96"/>
      <c r="C48" s="96"/>
      <c r="D48" s="96"/>
      <c r="E48" s="96"/>
      <c r="F48" s="96"/>
      <c r="G48" s="96"/>
      <c r="H48" s="96"/>
      <c r="I48" s="96"/>
      <c r="J48" s="96"/>
      <c r="K48" s="96"/>
      <c r="L48" s="96"/>
      <c r="M48" s="96"/>
      <c r="N48" s="96"/>
      <c r="O48" s="96"/>
      <c r="P48" s="96"/>
      <c r="Q48" s="96"/>
      <c r="R48" s="96"/>
      <c r="S48" s="96"/>
    </row>
    <row r="49" spans="1:19">
      <c r="A49" s="96"/>
      <c r="B49" s="96"/>
      <c r="C49" s="96"/>
      <c r="D49" s="96"/>
      <c r="E49" s="96"/>
      <c r="F49" s="96"/>
      <c r="G49" s="96"/>
      <c r="H49" s="96"/>
      <c r="I49" s="96"/>
      <c r="J49" s="96"/>
      <c r="K49" s="96"/>
      <c r="L49" s="96"/>
      <c r="M49" s="96"/>
      <c r="N49" s="96"/>
      <c r="O49" s="96"/>
      <c r="P49" s="96"/>
      <c r="Q49" s="96"/>
      <c r="R49" s="96"/>
      <c r="S49" s="96"/>
    </row>
    <row r="50" spans="1:19">
      <c r="A50" s="96"/>
      <c r="B50" s="96"/>
      <c r="C50" s="96"/>
      <c r="D50" s="96"/>
      <c r="E50" s="96"/>
      <c r="F50" s="96"/>
      <c r="G50" s="96"/>
      <c r="H50" s="96"/>
      <c r="I50" s="96"/>
      <c r="J50" s="96"/>
      <c r="K50" s="96"/>
      <c r="L50" s="96"/>
      <c r="M50" s="96"/>
      <c r="N50" s="96"/>
      <c r="O50" s="96"/>
      <c r="P50" s="96"/>
      <c r="Q50" s="96"/>
      <c r="R50" s="96"/>
      <c r="S50" s="96"/>
    </row>
    <row r="51" spans="1:19">
      <c r="A51" s="96"/>
      <c r="B51" s="96"/>
      <c r="C51" s="96"/>
      <c r="D51" s="96"/>
      <c r="E51" s="96"/>
      <c r="F51" s="96"/>
      <c r="G51" s="96"/>
      <c r="H51" s="96"/>
      <c r="I51" s="96"/>
      <c r="J51" s="96"/>
      <c r="K51" s="96"/>
      <c r="L51" s="96"/>
      <c r="M51" s="96"/>
      <c r="N51" s="96"/>
      <c r="O51" s="96"/>
      <c r="P51" s="96"/>
      <c r="Q51" s="96"/>
      <c r="R51" s="96"/>
      <c r="S51" s="96"/>
    </row>
    <row r="52" spans="1:19">
      <c r="A52" s="96"/>
      <c r="B52" s="96"/>
      <c r="C52" s="96"/>
      <c r="D52" s="96"/>
      <c r="E52" s="96"/>
      <c r="F52" s="96"/>
      <c r="G52" s="96"/>
      <c r="H52" s="96"/>
      <c r="I52" s="96"/>
      <c r="J52" s="96"/>
      <c r="K52" s="96"/>
      <c r="L52" s="96"/>
      <c r="M52" s="96"/>
      <c r="N52" s="96"/>
      <c r="O52" s="96"/>
      <c r="P52" s="96"/>
      <c r="Q52" s="96"/>
      <c r="R52" s="96"/>
      <c r="S52" s="96"/>
    </row>
    <row r="53" spans="1:19">
      <c r="A53" s="96"/>
      <c r="B53" s="96"/>
      <c r="C53" s="96"/>
      <c r="D53" s="96"/>
      <c r="E53" s="96"/>
      <c r="F53" s="96"/>
      <c r="G53" s="96"/>
      <c r="H53" s="96"/>
      <c r="I53" s="96"/>
      <c r="J53" s="96"/>
      <c r="K53" s="96"/>
      <c r="L53" s="96"/>
      <c r="M53" s="96"/>
      <c r="N53" s="96"/>
      <c r="O53" s="96"/>
      <c r="P53" s="96"/>
      <c r="Q53" s="96"/>
      <c r="R53" s="96"/>
      <c r="S53" s="96"/>
    </row>
    <row r="54" spans="1:19">
      <c r="A54" s="96"/>
      <c r="B54" s="96"/>
      <c r="C54" s="96"/>
      <c r="D54" s="96"/>
      <c r="E54" s="96"/>
      <c r="F54" s="96"/>
      <c r="G54" s="96"/>
      <c r="H54" s="96"/>
      <c r="I54" s="96"/>
      <c r="J54" s="96"/>
      <c r="K54" s="96"/>
      <c r="L54" s="96"/>
      <c r="M54" s="96"/>
      <c r="N54" s="96"/>
      <c r="O54" s="96"/>
      <c r="P54" s="96"/>
      <c r="Q54" s="96"/>
      <c r="R54" s="96"/>
      <c r="S54" s="96"/>
    </row>
    <row r="55" spans="1:19">
      <c r="A55" s="96"/>
      <c r="B55" s="96"/>
      <c r="C55" s="96"/>
      <c r="D55" s="96"/>
      <c r="E55" s="96"/>
      <c r="F55" s="96"/>
      <c r="G55" s="96"/>
      <c r="H55" s="96"/>
      <c r="I55" s="96"/>
      <c r="J55" s="96"/>
      <c r="K55" s="96"/>
      <c r="L55" s="96"/>
      <c r="M55" s="96"/>
      <c r="N55" s="96"/>
      <c r="O55" s="96"/>
      <c r="P55" s="96"/>
      <c r="Q55" s="96"/>
      <c r="R55" s="96"/>
      <c r="S55" s="96"/>
    </row>
    <row r="56" spans="1:19">
      <c r="A56" s="96"/>
      <c r="B56" s="96"/>
      <c r="C56" s="96"/>
      <c r="D56" s="96"/>
      <c r="E56" s="96"/>
      <c r="F56" s="96"/>
      <c r="G56" s="96"/>
      <c r="H56" s="96"/>
      <c r="I56" s="96"/>
      <c r="J56" s="96"/>
      <c r="K56" s="96"/>
      <c r="L56" s="96"/>
      <c r="M56" s="96"/>
      <c r="N56" s="96"/>
      <c r="O56" s="96"/>
      <c r="P56" s="96"/>
      <c r="Q56" s="96"/>
      <c r="R56" s="96"/>
      <c r="S56" s="96"/>
    </row>
    <row r="57" spans="1:19">
      <c r="A57" s="96"/>
      <c r="B57" s="96"/>
      <c r="C57" s="96"/>
      <c r="D57" s="96"/>
      <c r="E57" s="96"/>
      <c r="F57" s="96"/>
      <c r="G57" s="96"/>
      <c r="H57" s="96"/>
      <c r="I57" s="96"/>
      <c r="J57" s="96"/>
      <c r="K57" s="96"/>
      <c r="L57" s="96"/>
      <c r="M57" s="96"/>
      <c r="N57" s="96"/>
      <c r="O57" s="96"/>
      <c r="P57" s="96"/>
      <c r="Q57" s="96"/>
      <c r="R57" s="96"/>
      <c r="S57" s="96"/>
    </row>
    <row r="66" spans="2:2">
      <c r="B66" s="151"/>
    </row>
    <row r="67" spans="2:2">
      <c r="B67" s="151"/>
    </row>
    <row r="68" spans="2:2">
      <c r="B68" s="151"/>
    </row>
    <row r="69" spans="2:2">
      <c r="B69" s="151"/>
    </row>
    <row r="70" spans="2:2">
      <c r="B70" s="151"/>
    </row>
    <row r="71" spans="2:2">
      <c r="B71" s="151"/>
    </row>
    <row r="72" spans="2:2">
      <c r="B72" s="151"/>
    </row>
    <row r="73" spans="2:2">
      <c r="B73" s="151"/>
    </row>
    <row r="74" spans="2:2">
      <c r="B74" s="151"/>
    </row>
    <row r="75" spans="2:2">
      <c r="B75" s="151"/>
    </row>
    <row r="76" spans="2:2">
      <c r="B76" s="151"/>
    </row>
    <row r="135" spans="1:3">
      <c r="A135" s="94" t="s">
        <v>9</v>
      </c>
    </row>
    <row r="136" spans="1:3">
      <c r="C136" s="152">
        <v>1.46738701E-2</v>
      </c>
    </row>
  </sheetData>
  <sheetProtection sheet="1" objects="1" scenarios="1" selectLockedCells="1"/>
  <mergeCells count="4">
    <mergeCell ref="A10:I11"/>
    <mergeCell ref="J10:J11"/>
    <mergeCell ref="L5:N6"/>
    <mergeCell ref="M8:O11"/>
  </mergeCells>
  <phoneticPr fontId="4" type="noConversion"/>
  <conditionalFormatting sqref="J10:J11">
    <cfRule type="containsText" dxfId="1" priority="1" operator="containsText" text="FAIL">
      <formula>NOT(ISERROR(SEARCH("FAIL",J10)))</formula>
    </cfRule>
    <cfRule type="containsText" dxfId="0" priority="2" operator="containsText" text="PASS">
      <formula>NOT(ISERROR(SEARCH("PASS",J10)))</formula>
    </cfRule>
  </conditionalFormatting>
  <dataValidations count="2">
    <dataValidation type="list" allowBlank="1" showInputMessage="1" showErrorMessage="1" sqref="D6">
      <formula1>type_list</formula1>
    </dataValidation>
    <dataValidation type="list" allowBlank="1" showInputMessage="1" showErrorMessage="1" sqref="H6">
      <formula1>Mode_List</formula1>
    </dataValidation>
  </dataValidations>
  <pageMargins left="0.79" right="0.52" top="0.66" bottom="0.53" header="0.43" footer="0.3"/>
  <pageSetup scale="29" orientation="landscape" r:id="rId1"/>
  <headerFooter alignWithMargins="0">
    <oddHeader>&amp;L&amp;"Arial,Bold"Minority Carrier Lifetime Measurement&amp;C&amp;"Arial,Bold"&amp;F</oddHeader>
    <oddFooter>&amp;LFilename: &amp;F&amp;CPrinted:&amp;D &amp;T&amp;RSinton Lifetime Tester Copyright 2001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99" r:id="rId4" name="Button 99">
              <controlPr defaultSize="0" print="0" autoFill="0" autoPict="0" macro="[0]!RescaleInverse">
                <anchor>
                  <from>
                    <xdr:col>12</xdr:col>
                    <xdr:colOff>106680</xdr:colOff>
                    <xdr:row>11</xdr:row>
                    <xdr:rowOff>30480</xdr:rowOff>
                  </from>
                  <to>
                    <xdr:col>13</xdr:col>
                    <xdr:colOff>0</xdr:colOff>
                    <xdr:row>13</xdr:row>
                    <xdr:rowOff>106680</xdr:rowOff>
                  </to>
                </anchor>
              </controlPr>
            </control>
          </mc:Choice>
        </mc:AlternateContent>
        <mc:AlternateContent xmlns:mc="http://schemas.openxmlformats.org/markup-compatibility/2006">
          <mc:Choice Requires="x14">
            <control shapeId="51300" r:id="rId5" name="Button 100">
              <controlPr defaultSize="0" print="0" autoFill="0" autoPict="0" macro="[0]!RescaleLifetime">
                <anchor>
                  <from>
                    <xdr:col>12</xdr:col>
                    <xdr:colOff>83820</xdr:colOff>
                    <xdr:row>33</xdr:row>
                    <xdr:rowOff>30480</xdr:rowOff>
                  </from>
                  <to>
                    <xdr:col>12</xdr:col>
                    <xdr:colOff>731520</xdr:colOff>
                    <xdr:row>35</xdr:row>
                    <xdr:rowOff>114300</xdr:rowOff>
                  </to>
                </anchor>
              </controlPr>
            </control>
          </mc:Choice>
        </mc:AlternateContent>
      </controls>
    </mc:Choice>
  </mc:AlternateContent>
  <webPublishItems count="1">
    <webPublishItem id="5403" divId="QSS2PC99f_5403" sourceType="sheet" destinationFile="C:\Stu\Consulting\New XL Files\PCfiles\Page.htm"/>
  </webPublishItem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H508"/>
  <sheetViews>
    <sheetView zoomScale="85" zoomScaleNormal="85" workbookViewId="0">
      <selection activeCell="A8" sqref="A8:C317"/>
    </sheetView>
  </sheetViews>
  <sheetFormatPr defaultColWidth="11.44140625" defaultRowHeight="13.8"/>
  <cols>
    <col min="1" max="1" width="11.6640625" style="226" customWidth="1"/>
    <col min="2" max="2" width="13.88671875" style="226" customWidth="1"/>
    <col min="3" max="3" width="12" style="226" customWidth="1"/>
    <col min="4" max="4" width="11" style="226" customWidth="1"/>
    <col min="5" max="5" width="11.88671875" style="226" customWidth="1"/>
    <col min="6" max="6" width="13.44140625" style="226" customWidth="1"/>
    <col min="7" max="7" width="12" style="226" customWidth="1"/>
    <col min="8" max="8" width="13.88671875" style="226" customWidth="1"/>
    <col min="9" max="9" width="14" style="226" customWidth="1"/>
    <col min="10" max="10" width="14.5546875" style="226" customWidth="1"/>
    <col min="11" max="11" width="13.88671875" style="226" customWidth="1"/>
    <col min="12" max="12" width="14.5546875" style="226" customWidth="1"/>
    <col min="13" max="13" width="13.6640625" style="226" customWidth="1"/>
    <col min="14" max="14" width="13.33203125" style="226" customWidth="1"/>
    <col min="15" max="15" width="14.5546875" style="226" customWidth="1"/>
    <col min="16" max="16" width="12.88671875" style="226" customWidth="1"/>
    <col min="17" max="17" width="15.6640625" style="226" customWidth="1"/>
    <col min="18" max="18" width="13.44140625" style="226" customWidth="1"/>
    <col min="19" max="19" width="14" style="226" customWidth="1"/>
    <col min="20" max="20" width="15.44140625" style="226" customWidth="1"/>
    <col min="21" max="21" width="16.88671875" style="226" customWidth="1"/>
    <col min="22" max="22" width="15.5546875" style="226" customWidth="1"/>
    <col min="23" max="23" width="15.109375" style="226" customWidth="1"/>
    <col min="24" max="24" width="13.6640625" style="226" customWidth="1"/>
    <col min="25" max="25" width="11.6640625" style="226" customWidth="1"/>
    <col min="26" max="26" width="11" style="226" customWidth="1"/>
    <col min="27" max="27" width="10.5546875" style="226" customWidth="1"/>
    <col min="28" max="28" width="14.88671875" style="226" customWidth="1"/>
    <col min="29" max="29" width="10.44140625" style="226" customWidth="1"/>
    <col min="30" max="30" width="13" style="226" bestFit="1" customWidth="1"/>
    <col min="31" max="33" width="11.44140625" style="226"/>
    <col min="34" max="34" width="13" style="226" bestFit="1" customWidth="1"/>
    <col min="35" max="16384" width="11.44140625" style="226"/>
  </cols>
  <sheetData>
    <row r="1" spans="1:34" ht="19.5" customHeight="1">
      <c r="A1" s="222" t="s">
        <v>161</v>
      </c>
      <c r="B1" s="223"/>
      <c r="C1" s="223"/>
      <c r="D1" s="223"/>
      <c r="E1" s="223"/>
      <c r="F1" s="224"/>
      <c r="G1" s="225"/>
      <c r="H1" s="223"/>
      <c r="J1" s="223" t="s">
        <v>192</v>
      </c>
      <c r="K1" s="226" t="s">
        <v>36</v>
      </c>
      <c r="L1" s="227" t="s">
        <v>193</v>
      </c>
      <c r="M1" s="320" t="str">
        <f>"Lifetime = "&amp;K2&amp;" "&amp;L1&amp;" @ "&amp;J2&amp;" "&amp;L2</f>
        <v>Lifetime = 363.87 µs @ 1.0E+15 cm-3</v>
      </c>
      <c r="N1" s="320"/>
      <c r="O1" s="320"/>
      <c r="P1" s="223"/>
      <c r="Q1" s="228" t="s">
        <v>256</v>
      </c>
      <c r="R1" s="229" t="str">
        <f>IF(MAX(C9:C133)&gt;0.6,"  Saturated Reference Cell  - Data for MCD&gt; "&amp;J4&amp; " not valid ","")</f>
        <v/>
      </c>
      <c r="S1" s="227" t="s">
        <v>156</v>
      </c>
      <c r="T1" s="230" t="str">
        <f>IF(AND(MeasuredLifetime&gt;800,AnalysisMode&lt;&gt;"Transient"),"Recommended Analysis Mode is Transient for this sample",IF(AND(MeasuredLifetime&lt;800,AnalysisMode="Transient"),"Recommended Analysis Mode is Generalized for this sample",""))</f>
        <v/>
      </c>
      <c r="U1" s="223"/>
      <c r="V1" s="223"/>
      <c r="W1" s="227"/>
      <c r="X1" s="227"/>
      <c r="Y1" s="227"/>
      <c r="Z1" s="227"/>
    </row>
    <row r="2" spans="1:34" ht="15">
      <c r="A2" s="228" t="s">
        <v>403</v>
      </c>
      <c r="B2" s="168"/>
      <c r="C2" s="231"/>
      <c r="D2" s="168"/>
      <c r="E2" s="232" t="s">
        <v>15</v>
      </c>
      <c r="F2" s="233">
        <v>44749</v>
      </c>
      <c r="G2" s="227"/>
      <c r="H2" s="234"/>
      <c r="I2" s="223" t="s">
        <v>191</v>
      </c>
      <c r="J2" s="234" t="str">
        <f>TEXT(SpecMCD,"0.0E+00")</f>
        <v>1.0E+15</v>
      </c>
      <c r="K2" s="227" t="str">
        <f>TEXT(MeasuredLifetime,"0.00")</f>
        <v>363.87</v>
      </c>
      <c r="L2" s="227" t="s">
        <v>425</v>
      </c>
      <c r="M2" s="227"/>
      <c r="N2" s="234"/>
      <c r="O2" s="227"/>
      <c r="P2" s="168"/>
      <c r="Q2" s="235" t="s">
        <v>257</v>
      </c>
      <c r="R2" s="229" t="str">
        <f>IF(OR(SpecMCD&gt;MaxApparentCD,SpecMCD&lt;MinApparentCD),"  Choose Specificed MCD within Data, Min MCD &lt; Spec MCD &lt; Max MCD","")</f>
        <v/>
      </c>
      <c r="S2" s="227" t="s">
        <v>398</v>
      </c>
      <c r="T2" s="230" t="str">
        <f>IF(OR(InputRangeType&lt;&gt;SampleType,SampleNameCoverSheet&lt;&gt;SampleNameUserSheet,InputRangeOptConst&lt;&gt;OptConst,InputRangeMCD&lt;&gt;SpecMCD,InputRangeMode&lt;&gt;AnalysisMode,InputRangePC&lt;&gt;PCRange,InputRangeRef&lt;&gt;RefRange,InputRangeFit&lt;&gt;Fit_Range,InputRangeAvg&lt;&gt;NumFlashesInitial),"Input values must be updated, Click the Update button above","")</f>
        <v>Input values must be updated, Click the Update button above</v>
      </c>
      <c r="U2" s="223"/>
      <c r="V2" s="223"/>
      <c r="W2" s="236"/>
      <c r="X2" s="236"/>
      <c r="Y2" s="236"/>
      <c r="Z2" s="236"/>
    </row>
    <row r="3" spans="1:34">
      <c r="A3" s="225"/>
      <c r="B3" s="237"/>
      <c r="C3" s="223"/>
      <c r="D3" s="223"/>
      <c r="E3" s="238" t="s">
        <v>19</v>
      </c>
      <c r="F3" s="239">
        <v>0.70483796296296297</v>
      </c>
      <c r="G3" s="227"/>
      <c r="H3" s="227"/>
      <c r="I3" s="227"/>
      <c r="J3" s="223" t="s">
        <v>272</v>
      </c>
      <c r="K3" s="227"/>
      <c r="L3" s="234"/>
      <c r="M3" s="227"/>
      <c r="N3" s="234"/>
      <c r="O3" s="227"/>
      <c r="P3" s="240"/>
      <c r="Q3" s="241" t="s">
        <v>258</v>
      </c>
      <c r="R3" s="229" t="str">
        <f>IF(BiasLight=0,"",IF(MAX(M9:M133)=0,"  Choose Bias Light within data  ",""))</f>
        <v/>
      </c>
      <c r="S3" s="227"/>
      <c r="T3" s="223"/>
      <c r="U3" s="223"/>
      <c r="V3" s="223"/>
      <c r="W3" s="236"/>
      <c r="X3" s="236"/>
      <c r="Y3" s="236"/>
      <c r="Z3" s="236"/>
    </row>
    <row r="4" spans="1:34" ht="15.75" customHeight="1">
      <c r="A4" s="224"/>
      <c r="B4" s="223"/>
      <c r="C4" s="227"/>
      <c r="D4" s="224"/>
      <c r="E4" s="227"/>
      <c r="F4" s="223"/>
      <c r="G4" s="227"/>
      <c r="H4" s="227"/>
      <c r="I4" s="227"/>
      <c r="J4" s="223" t="str">
        <f>TEXT(AH6,"0.0E+00")</f>
        <v>0.0E+00</v>
      </c>
      <c r="K4" s="223"/>
      <c r="L4" s="231"/>
      <c r="M4" s="227"/>
      <c r="N4" s="168"/>
      <c r="O4" s="227"/>
      <c r="P4" s="224"/>
      <c r="Q4" s="228" t="s">
        <v>164</v>
      </c>
      <c r="R4" s="242" t="str">
        <f ca="1">IF(OR(Air_Voltage&lt;-0.95,Air_Voltage&gt;-0.5,(NOW()-ZeroInstTime)&gt;0.5,AirVStdev&gt;0.01),"  Remove Sample From Stage and Re-Zero Instrument  ","")</f>
        <v/>
      </c>
      <c r="S4" s="234"/>
      <c r="T4" s="234"/>
      <c r="U4" s="224"/>
      <c r="V4" s="223"/>
      <c r="W4" s="243"/>
      <c r="X4" s="227"/>
      <c r="Y4" s="227"/>
      <c r="Z4" s="227"/>
    </row>
    <row r="5" spans="1:34" ht="43.5" customHeight="1">
      <c r="A5" s="244" t="s">
        <v>174</v>
      </c>
      <c r="B5" s="245" t="s">
        <v>175</v>
      </c>
      <c r="C5" s="245" t="s">
        <v>396</v>
      </c>
      <c r="D5" s="245" t="s">
        <v>16</v>
      </c>
      <c r="E5" s="245" t="s">
        <v>363</v>
      </c>
      <c r="F5" s="245" t="s">
        <v>31</v>
      </c>
      <c r="G5" s="245" t="s">
        <v>184</v>
      </c>
      <c r="H5" s="245" t="s">
        <v>185</v>
      </c>
      <c r="I5" s="245" t="s">
        <v>187</v>
      </c>
      <c r="J5" s="245" t="s">
        <v>183</v>
      </c>
      <c r="K5" s="246" t="s">
        <v>186</v>
      </c>
      <c r="L5" s="246" t="s">
        <v>188</v>
      </c>
      <c r="M5" s="245" t="s">
        <v>3</v>
      </c>
      <c r="N5" s="245" t="s">
        <v>17</v>
      </c>
      <c r="O5" s="245" t="s">
        <v>189</v>
      </c>
      <c r="P5" s="245" t="s">
        <v>178</v>
      </c>
      <c r="Q5" s="245" t="s">
        <v>179</v>
      </c>
      <c r="R5" s="245" t="s">
        <v>426</v>
      </c>
      <c r="S5" s="245" t="s">
        <v>369</v>
      </c>
      <c r="T5" s="245" t="s">
        <v>341</v>
      </c>
      <c r="U5" s="246" t="s">
        <v>342</v>
      </c>
      <c r="V5" s="245" t="s">
        <v>338</v>
      </c>
      <c r="W5" s="245" t="s">
        <v>339</v>
      </c>
      <c r="X5" s="245" t="s">
        <v>340</v>
      </c>
      <c r="Y5" s="245" t="s">
        <v>427</v>
      </c>
      <c r="Z5" s="246" t="s">
        <v>401</v>
      </c>
      <c r="AA5" s="245" t="s">
        <v>18</v>
      </c>
      <c r="AB5" s="245" t="s">
        <v>190</v>
      </c>
      <c r="AC5" s="245" t="s">
        <v>404</v>
      </c>
      <c r="AD5" s="245" t="s">
        <v>406</v>
      </c>
      <c r="AE5" s="245" t="s">
        <v>407</v>
      </c>
      <c r="AF5" s="245" t="s">
        <v>408</v>
      </c>
      <c r="AG5" s="245" t="s">
        <v>410</v>
      </c>
      <c r="AH5" s="247" t="s">
        <v>270</v>
      </c>
    </row>
    <row r="6" spans="1:34">
      <c r="A6" s="248">
        <f>B166</f>
        <v>-0.84539799999999998</v>
      </c>
      <c r="B6" s="193">
        <f>CalcDarkSheetResistance(Dark_Voltage,A_cal,B_cal,C_cal)</f>
        <v>896.43721466027193</v>
      </c>
      <c r="C6" s="249">
        <f>SheetResistance*Thickness</f>
        <v>62.750605026219041</v>
      </c>
      <c r="D6" s="250">
        <f>calcdoping(InputResistivity,SampleType)</f>
        <v>110920962330208.83</v>
      </c>
      <c r="E6" s="251">
        <f>SUMSQ(B9:B133)/SUMSQ(C9:C133)</f>
        <v>300.98124527528842</v>
      </c>
      <c r="F6" s="193">
        <f>MAX(E9:E133)</f>
        <v>48.836185277488418</v>
      </c>
      <c r="G6" s="252">
        <f>SpecMCD*(1-Fit_Range)</f>
        <v>700000000000000</v>
      </c>
      <c r="H6" s="252">
        <f>SpecMCD*(1+Fit_Range)</f>
        <v>1300000000000000</v>
      </c>
      <c r="I6" s="253">
        <f>MIN($I$14:$I$133)</f>
        <v>139531251212923.47</v>
      </c>
      <c r="J6" s="252">
        <f>MAX($I$9:$I$132)</f>
        <v>8318371307832016</v>
      </c>
      <c r="K6" s="253">
        <f>LOOKUP(2,1/(I9:I133=MaxApparentCD),A9:A133)</f>
        <v>4.4989999999999999E-4</v>
      </c>
      <c r="L6" s="253">
        <f>LOOKUP(2,1/(I9:I133=MaxApparentCD),H9:H133)</f>
        <v>0.15100672382148003</v>
      </c>
      <c r="M6" s="252">
        <f>IF(BiasLight=0,0,INTERCEPT($N18:$N130,$M18:$M130)+BiasLight*SLOPE($N18:$N130,$M18:$M130))</f>
        <v>0</v>
      </c>
      <c r="N6" s="252">
        <f>BiasPtCD-(BiasLight*0.038*OptConst)*MeasuredLifetimeAuger*0.000001/(1.6E-19*Thickness)</f>
        <v>0</v>
      </c>
      <c r="O6" s="253">
        <f>SpecMCD-Traps</f>
        <v>1000000000000000</v>
      </c>
      <c r="P6" s="192">
        <f>IF(MAX(R10:R131)=0,0,SLOPE(R10:R131,J10:J131))</f>
        <v>1.4461131391732E-12</v>
      </c>
      <c r="Q6" s="193">
        <f>IF(MAX(R10:R131)=0,0,INTERCEPT(R10:R130,J10:J130))</f>
        <v>1302.1061281848295</v>
      </c>
      <c r="R6" s="192">
        <f>IF(MaxSuns&gt;0.1,1000000*1/(Q6+(SpecMCD)*P6),0)</f>
        <v>363.87198498951619</v>
      </c>
      <c r="S6" s="192">
        <f>R6/1000000</f>
        <v>3.6387198498951621E-4</v>
      </c>
      <c r="T6" s="254">
        <f>IF(MAX(T10:T131)=0,0,SLOPE(T10:T131,J10:J131))</f>
        <v>1.4428296953220463E-12</v>
      </c>
      <c r="U6" s="192">
        <f>IF(MAX(T10:T131)=0,0,INTERCEPT(T10:T130,J10:J130))</f>
        <v>1303.6812113685269</v>
      </c>
      <c r="V6" s="255">
        <f>IF(MaxSuns&gt;0.1,1000000*1/(FitInterceptAuger+(SpecMCD)*FitSlopeAuger),0)</f>
        <v>364.09831745578492</v>
      </c>
      <c r="W6" s="253">
        <f>MeasuredLifetimeAuger/1000000</f>
        <v>3.6409831745578495E-4</v>
      </c>
      <c r="X6" s="253">
        <f>IF(MeasuredLifetimeAuger&gt;0,1000000/MeasuredLifetimeAuger,0)</f>
        <v>2746.5109066905734</v>
      </c>
      <c r="Y6" s="256">
        <f>IF(MaxSuns&gt;0.1,1000000/(FitInterceptAuger-(FitSlopeAuger*(SampleDoping-Traps))),0)</f>
        <v>874.40015366939815</v>
      </c>
      <c r="Z6" s="192" t="str">
        <f>IF(AugerModel="Richter",SLOPE(W10:W131,J10:J131),"")</f>
        <v/>
      </c>
      <c r="AA6" s="254">
        <f>IF(AugerModel="Sinton",calcjo(FitSlopeAuger,Thickness),calcJoRichter(Thickness,Z6))</f>
        <v>1.1968272322696375E-12</v>
      </c>
      <c r="AB6" s="257">
        <f ca="1">FORECAST(1,OFFSET(X9,MATCH(1,Y9:Y133,-1)-1,0,2),OFFSET(Y9,MATCH(1,Y9:Y133,-1)-1,0,2))</f>
        <v>0.59745898057031177</v>
      </c>
      <c r="AC6" s="191">
        <v>3.5000000000000003E-2</v>
      </c>
      <c r="AD6" s="251">
        <f>MAX(Z9:Z133)</f>
        <v>1.5405163252394367E-2</v>
      </c>
      <c r="AE6" s="195">
        <f>INDEX(X9:X133,MATCH(AD6,Z9:Z133,0))</f>
        <v>0.52549460050088725</v>
      </c>
      <c r="AF6" s="251">
        <f>INDEX(AA9:AA133,MATCH(AD6,Z9:Z133,0))</f>
        <v>2.9315550031742632E-2</v>
      </c>
      <c r="AG6" s="195">
        <f ca="1">(AE6*AF6)/(AC6*ImpliedVoc1sun)*100</f>
        <v>73.669914723992207</v>
      </c>
      <c r="AH6" s="258">
        <f>MIN(AB9:AB133)</f>
        <v>0</v>
      </c>
    </row>
    <row r="7" spans="1:34" s="227" customFormat="1">
      <c r="A7" s="259"/>
      <c r="B7" s="223"/>
      <c r="C7" s="223"/>
      <c r="D7" s="259"/>
      <c r="K7" s="260"/>
      <c r="L7" s="261"/>
      <c r="M7" s="234"/>
      <c r="O7" s="234"/>
      <c r="S7" s="262"/>
      <c r="T7" s="259"/>
      <c r="U7" s="263"/>
      <c r="V7" s="223"/>
      <c r="W7" s="264"/>
    </row>
    <row r="8" spans="1:34" ht="42" customHeight="1">
      <c r="A8" s="265" t="s">
        <v>331</v>
      </c>
      <c r="B8" s="266" t="s">
        <v>55</v>
      </c>
      <c r="C8" s="245" t="s">
        <v>56</v>
      </c>
      <c r="D8" s="245" t="s">
        <v>6</v>
      </c>
      <c r="E8" s="245" t="s">
        <v>4</v>
      </c>
      <c r="F8" s="245" t="s">
        <v>10</v>
      </c>
      <c r="G8" s="245" t="s">
        <v>5</v>
      </c>
      <c r="H8" s="246" t="s">
        <v>47</v>
      </c>
      <c r="I8" s="245" t="s">
        <v>181</v>
      </c>
      <c r="J8" s="245" t="s">
        <v>176</v>
      </c>
      <c r="K8" s="245" t="s">
        <v>8</v>
      </c>
      <c r="L8" s="245" t="s">
        <v>12</v>
      </c>
      <c r="M8" s="245" t="s">
        <v>7</v>
      </c>
      <c r="N8" s="245" t="s">
        <v>180</v>
      </c>
      <c r="O8" s="245" t="s">
        <v>11</v>
      </c>
      <c r="P8" s="245" t="s">
        <v>182</v>
      </c>
      <c r="Q8" s="246" t="s">
        <v>177</v>
      </c>
      <c r="R8" s="246" t="s">
        <v>343</v>
      </c>
      <c r="S8" s="245" t="s">
        <v>366</v>
      </c>
      <c r="T8" s="246" t="s">
        <v>367</v>
      </c>
      <c r="U8" s="245" t="s">
        <v>361</v>
      </c>
      <c r="V8" s="246" t="s">
        <v>362</v>
      </c>
      <c r="W8" s="246" t="s">
        <v>400</v>
      </c>
      <c r="X8" s="245" t="s">
        <v>337</v>
      </c>
      <c r="Y8" s="246" t="s">
        <v>336</v>
      </c>
      <c r="Z8" s="246" t="s">
        <v>405</v>
      </c>
      <c r="AA8" s="246" t="s">
        <v>409</v>
      </c>
      <c r="AB8" s="267" t="s">
        <v>271</v>
      </c>
    </row>
    <row r="9" spans="1:34">
      <c r="A9" s="268">
        <v>4.99E-5</v>
      </c>
      <c r="B9" s="268">
        <v>1.29867</v>
      </c>
      <c r="C9" s="269">
        <v>0.230797</v>
      </c>
      <c r="D9" s="270">
        <f>IF(CouplingMode="AC",B9-(A$11-A$10)*SUM(B$9:B9)/0.21,B9)</f>
        <v>1.29867</v>
      </c>
      <c r="E9" s="271">
        <f>IF(C9&gt;0,C9/RefCellCal,0.00001)</f>
        <v>27.441046134547296</v>
      </c>
      <c r="F9" s="271">
        <f t="shared" ref="F9:F40" si="0">E9-BiasLight</f>
        <v>27.441046134547296</v>
      </c>
      <c r="G9" s="272">
        <f t="shared" ref="G9:G40" si="1">F9*0.038*OptConst/1.602E-19</f>
        <v>4.5563784468099753E+18</v>
      </c>
      <c r="H9" s="273">
        <f t="shared" ref="H9:H40" si="2">CalcConductance(B9,Dark_Voltage,A_cal,B_cal,C_cal)</f>
        <v>3.631157163166638E-2</v>
      </c>
      <c r="I9" s="272">
        <f t="shared" ref="I9:I40" si="3">CalcDeltaN(H9,SampleDoping,Thickness,AreaFrac)</f>
        <v>1860484349193644.7</v>
      </c>
      <c r="J9" s="272" t="str">
        <f t="shared" ref="J9:J40" si="4">IF(AND(AND(I9&gt;=FitRangeMin,I9&lt;=FitRangeMax),A9&gt;TimeofMaxCD),I9,"")</f>
        <v/>
      </c>
      <c r="K9" s="272">
        <f t="shared" ref="K9:K40" si="5">IF(I9-BiasPtCD&lt;0,0.00001,I9-BiasPtCD)</f>
        <v>1860484349193644.7</v>
      </c>
      <c r="L9" s="274"/>
      <c r="M9" s="223" t="str">
        <f t="shared" ref="M9:M40" si="6">IF(E9&gt;0.85*BiasLight,IF( E9&lt;1.15*BiasLight,E9,""),"")</f>
        <v/>
      </c>
      <c r="N9" s="223" t="str">
        <f t="shared" ref="N9:N40" si="7">IF(E9&gt;0.85*BiasLight,IF(E9&lt;1.15*BiasLight,I9,""),"")</f>
        <v/>
      </c>
      <c r="O9" s="274">
        <f t="shared" ref="O9:O40" si="8">I9-Traps</f>
        <v>1860484349193644.7</v>
      </c>
      <c r="P9" s="272"/>
      <c r="Q9" s="274"/>
      <c r="R9" s="275"/>
      <c r="S9" s="276"/>
      <c r="T9" s="227"/>
      <c r="U9" s="276">
        <f>FitInterceptAuger+FitSlopeAuger*(I9+Traps)</f>
        <v>3988.043278067029</v>
      </c>
      <c r="V9" s="275" t="str">
        <f>IF(AugerModel="Sinton","",IF(SampleType="n-type",n_intr_boltzmann(SampleDoping,0,K9,298.15),n_intr_boltzmann(0,SampleDoping,K9,298.15)))</f>
        <v/>
      </c>
      <c r="W9" s="275" t="str">
        <f>IF(V9="","",IF(T9="","",V9^2*S9))</f>
        <v/>
      </c>
      <c r="X9" s="270" t="str">
        <f>IF(AND(A9&gt;TimeofMaxCD,I9&gt;Traps),IF(AugerModel="Sinton",CalcImpliedV(SampleDoping,O9),CalcImpliedVRichter(O9,SampleDoping,V9)),"")</f>
        <v/>
      </c>
      <c r="Y9" s="277" t="str">
        <f t="shared" ref="Y9:Y40" si="9">IF(OR(P9="",P9&lt;0,A9&lt;=TimeofMaxCD),"",(O9*Thickness*1.602E-19/(0.038*OptConst*P9)))</f>
        <v/>
      </c>
      <c r="Z9" s="226" t="str">
        <f t="shared" ref="Z9:Z40" si="10">IF(Y9="","",($AC$6*X9*(1-Y9)))</f>
        <v/>
      </c>
      <c r="AA9" s="226" t="str">
        <f t="shared" ref="AA9:AA40" si="11">IF(Y9="","",$AC$6*(1-Y9))</f>
        <v/>
      </c>
      <c r="AB9" s="226" t="str">
        <f t="shared" ref="AB9:AB40" si="12">IF(C9&gt;0.6,O9,"")</f>
        <v/>
      </c>
    </row>
    <row r="10" spans="1:34">
      <c r="A10" s="268">
        <v>1.4990000000000001E-4</v>
      </c>
      <c r="B10" s="268">
        <v>3.5962399999999999</v>
      </c>
      <c r="C10" s="269">
        <v>0.34790500000000002</v>
      </c>
      <c r="D10" s="270">
        <f>IF(CouplingMode="AC",B10-(A$11-A$10)*SUM(B$9:B10)/0.21,B10)</f>
        <v>3.5962399999999999</v>
      </c>
      <c r="E10" s="271">
        <f t="shared" ref="E10:E40" si="13">IF(C10&gt;0,C10/RefCellCal,0.00001)</f>
        <v>41.364823439818011</v>
      </c>
      <c r="F10" s="271">
        <f t="shared" si="0"/>
        <v>41.364823439818011</v>
      </c>
      <c r="G10" s="272">
        <f t="shared" si="1"/>
        <v>6.8683165012431892E+18</v>
      </c>
      <c r="H10" s="273">
        <f t="shared" si="2"/>
        <v>0.10219379497665754</v>
      </c>
      <c r="I10" s="272">
        <f t="shared" si="3"/>
        <v>5467332468520812</v>
      </c>
      <c r="J10" s="272" t="str">
        <f t="shared" si="4"/>
        <v/>
      </c>
      <c r="K10" s="272">
        <f t="shared" si="5"/>
        <v>5467332468520812</v>
      </c>
      <c r="L10" s="274"/>
      <c r="M10" s="223" t="str">
        <f t="shared" si="6"/>
        <v/>
      </c>
      <c r="N10" s="223" t="str">
        <f t="shared" si="7"/>
        <v/>
      </c>
      <c r="O10" s="274">
        <f t="shared" si="8"/>
        <v>5467332468520812</v>
      </c>
      <c r="P10" s="272"/>
      <c r="Q10" s="274"/>
      <c r="R10" s="275"/>
      <c r="S10" s="276"/>
      <c r="T10" s="227"/>
      <c r="U10" s="276">
        <f t="shared" ref="U10:U40" si="14">FitInterceptAuger+FitSlopeAuger*(I10+Traps)</f>
        <v>9192.1108511487419</v>
      </c>
      <c r="V10" s="275" t="str">
        <f>IF(AugerModel="Sinton","",IF(SampleType="n-type",n_intr_boltzmann(SampleDoping,0,K10,298.15),n_intr_boltzmann(0,SampleDoping,K10,298.15)))</f>
        <v/>
      </c>
      <c r="W10" s="275" t="str">
        <f t="shared" ref="W10:W73" si="15">IF(V10="","",IF(T10="","",V10^2*S10))</f>
        <v/>
      </c>
      <c r="X10" s="270" t="str">
        <f>IF(AND(A10&gt;TimeofMaxCD,I10&gt;Traps),IF(AugerModel="Sinton",CalcImpliedV(SampleDoping,O10),CalcImpliedVRichter(O10,SampleDoping,V10)),"")</f>
        <v/>
      </c>
      <c r="Y10" s="277" t="str">
        <f t="shared" si="9"/>
        <v/>
      </c>
      <c r="Z10" s="226" t="str">
        <f t="shared" si="10"/>
        <v/>
      </c>
      <c r="AA10" s="226" t="str">
        <f t="shared" si="11"/>
        <v/>
      </c>
      <c r="AB10" s="226" t="str">
        <f t="shared" si="12"/>
        <v/>
      </c>
    </row>
    <row r="11" spans="1:34">
      <c r="A11" s="268">
        <v>2.499E-4</v>
      </c>
      <c r="B11" s="268">
        <v>4.7733499999999998</v>
      </c>
      <c r="C11" s="269">
        <v>0.410744</v>
      </c>
      <c r="D11" s="270">
        <f>IF(CouplingMode="AC",B11-(A$11-A$10)*SUM(B$9:B11)/0.21,B11)</f>
        <v>4.7733499999999998</v>
      </c>
      <c r="E11" s="271">
        <f t="shared" si="13"/>
        <v>48.836185277488418</v>
      </c>
      <c r="F11" s="271">
        <f t="shared" si="0"/>
        <v>48.836185277488418</v>
      </c>
      <c r="G11" s="272">
        <f t="shared" si="1"/>
        <v>8.108879702754007E+18</v>
      </c>
      <c r="H11" s="273">
        <f t="shared" si="2"/>
        <v>0.13675934401555767</v>
      </c>
      <c r="I11" s="272">
        <f t="shared" si="3"/>
        <v>7470796002349974</v>
      </c>
      <c r="J11" s="272" t="str">
        <f t="shared" si="4"/>
        <v/>
      </c>
      <c r="K11" s="272">
        <f t="shared" si="5"/>
        <v>7470796002349974</v>
      </c>
      <c r="L11" s="274">
        <f t="shared" ref="L11:L42" si="16">IF(ABS(SLOPE(K9:K13,A9:A13))&lt;1000000000000,-1000000000000,(SLOPE(K9:K13,A9:A13)))</f>
        <v>1.5728570307439583E+19</v>
      </c>
      <c r="M11" s="223" t="str">
        <f t="shared" si="6"/>
        <v/>
      </c>
      <c r="N11" s="223" t="str">
        <f t="shared" si="7"/>
        <v/>
      </c>
      <c r="O11" s="274">
        <f t="shared" si="8"/>
        <v>7470796002349974</v>
      </c>
      <c r="P11" s="272">
        <f>calclifetime(AnalysisMode,K11,Thickness,G11,L11)</f>
        <v>7.4623957101111873E-5</v>
      </c>
      <c r="Q11" s="274"/>
      <c r="R11" s="275"/>
      <c r="S11" s="276">
        <f>IF(AND(E11&gt;0.95*BiasLight,E11&lt;1.05*BiasLight),"",IF(AugerModel="Sinton",calclifetimeauger(Auger_Coefficient,I11,P11),calclifetimerichter(SampleType,I11,SampleDoping,P11)))</f>
        <v>13307.873047051773</v>
      </c>
      <c r="T11" s="227"/>
      <c r="U11" s="276">
        <f t="shared" si="14"/>
        <v>12082.767531252301</v>
      </c>
      <c r="V11" s="275" t="str">
        <f>IF(AugerModel="Sinton","",IF(SampleType="n-type",n_intr_boltzmann(SampleDoping,0,K11,298.15),n_intr_boltzmann(0,SampleDoping,K11,298.15)))</f>
        <v/>
      </c>
      <c r="W11" s="275" t="str">
        <f t="shared" si="15"/>
        <v/>
      </c>
      <c r="X11" s="270" t="str">
        <f>IF(AND(A11&gt;TimeofMaxCD,I11&gt;Traps),IF(AugerModel="Sinton",CalcImpliedV(SampleDoping,O11),CalcImpliedVRichter(O11,SampleDoping,V11)),"")</f>
        <v/>
      </c>
      <c r="Y11" s="277" t="str">
        <f t="shared" si="9"/>
        <v/>
      </c>
      <c r="Z11" s="226" t="str">
        <f t="shared" si="10"/>
        <v/>
      </c>
      <c r="AA11" s="226" t="str">
        <f t="shared" si="11"/>
        <v/>
      </c>
      <c r="AB11" s="226" t="str">
        <f t="shared" si="12"/>
        <v/>
      </c>
    </row>
    <row r="12" spans="1:34">
      <c r="A12" s="268">
        <v>3.4989999999999999E-4</v>
      </c>
      <c r="B12" s="268">
        <v>5.2317299999999998</v>
      </c>
      <c r="C12" s="269">
        <v>0.40932600000000002</v>
      </c>
      <c r="D12" s="270">
        <f>IF(CouplingMode="AC",B12-(A$11-A$10)*SUM(B$9:B12)/0.21,B12)</f>
        <v>5.2317299999999998</v>
      </c>
      <c r="E12" s="271">
        <f t="shared" si="13"/>
        <v>48.667589483700858</v>
      </c>
      <c r="F12" s="271">
        <f t="shared" si="0"/>
        <v>48.667589483700858</v>
      </c>
      <c r="G12" s="272">
        <f t="shared" si="1"/>
        <v>8.0808856446095053E+18</v>
      </c>
      <c r="H12" s="273">
        <f t="shared" si="2"/>
        <v>0.15036843508435052</v>
      </c>
      <c r="I12" s="272">
        <f t="shared" si="3"/>
        <v>8280128858683653</v>
      </c>
      <c r="J12" s="272" t="str">
        <f t="shared" si="4"/>
        <v/>
      </c>
      <c r="K12" s="272">
        <f t="shared" si="5"/>
        <v>8280128858683653</v>
      </c>
      <c r="L12" s="274">
        <f t="shared" si="16"/>
        <v>6.1142379094855465E+18</v>
      </c>
      <c r="M12" s="223" t="str">
        <f t="shared" si="6"/>
        <v/>
      </c>
      <c r="N12" s="223" t="str">
        <f t="shared" si="7"/>
        <v/>
      </c>
      <c r="O12" s="274">
        <f t="shared" si="8"/>
        <v>8280128858683653</v>
      </c>
      <c r="P12" s="272">
        <f t="shared" ref="P12:P42" si="17">calclifetime(AnalysisMode,K12,Thickness,G12,L12)</f>
        <v>7.5737283108851802E-5</v>
      </c>
      <c r="Q12" s="274" t="str">
        <f t="shared" ref="Q12:Q43" si="18">IF($J12="","",P12)</f>
        <v/>
      </c>
      <c r="R12" s="275" t="str">
        <f t="shared" ref="R12:R43" si="19">IF(Q12="","",1/Q12)</f>
        <v/>
      </c>
      <c r="S12" s="276">
        <f>IF(AND(E12&gt;0.95*BiasLight,E12&lt;1.05*BiasLight),"",IF(AugerModel="Sinton",calclifetimeauger(Auger_Coefficient,I12,P12),calclifetimerichter(SampleType,I12,SampleDoping,P12)))</f>
        <v>13089.726252173676</v>
      </c>
      <c r="T12" s="227" t="str">
        <f t="shared" ref="T12:T43" si="20">IF($J12="","",S12)</f>
        <v/>
      </c>
      <c r="U12" s="276">
        <f t="shared" si="14"/>
        <v>13250.497009770344</v>
      </c>
      <c r="V12" s="275" t="str">
        <f>IF(AugerModel="Sinton","",IF(SampleType="n-type",n_intr_boltzmann(SampleDoping,0,K12,298.15),n_intr_boltzmann(0,SampleDoping,K12,298.15)))</f>
        <v/>
      </c>
      <c r="W12" s="275" t="str">
        <f t="shared" si="15"/>
        <v/>
      </c>
      <c r="X12" s="270" t="str">
        <f>IF(AND(A12&gt;TimeofMaxCD,I12&gt;Traps),IF(AugerModel="Sinton",CalcImpliedV(SampleDoping,O12),CalcImpliedVRichter(O12,SampleDoping,V12)),"")</f>
        <v/>
      </c>
      <c r="Y12" s="277" t="str">
        <f t="shared" si="9"/>
        <v/>
      </c>
      <c r="Z12" s="226" t="str">
        <f t="shared" si="10"/>
        <v/>
      </c>
      <c r="AA12" s="226" t="str">
        <f t="shared" si="11"/>
        <v/>
      </c>
      <c r="AB12" s="226" t="str">
        <f t="shared" si="12"/>
        <v/>
      </c>
    </row>
    <row r="13" spans="1:34">
      <c r="A13" s="268">
        <v>4.4989999999999999E-4</v>
      </c>
      <c r="B13" s="268">
        <v>5.2531600000000003</v>
      </c>
      <c r="C13" s="269">
        <v>0.38180199999999997</v>
      </c>
      <c r="D13" s="270">
        <f>IF(CouplingMode="AC",B13-(A$11-A$10)*SUM(B$9:B13)/0.21,B13)</f>
        <v>5.2531600000000003</v>
      </c>
      <c r="E13" s="271">
        <f t="shared" si="13"/>
        <v>45.395071410210818</v>
      </c>
      <c r="F13" s="271">
        <f t="shared" si="0"/>
        <v>45.395071410210818</v>
      </c>
      <c r="G13" s="272">
        <f t="shared" si="1"/>
        <v>7.5375087360275139E+18</v>
      </c>
      <c r="H13" s="273">
        <f t="shared" si="2"/>
        <v>0.15100672382148003</v>
      </c>
      <c r="I13" s="272">
        <f t="shared" si="3"/>
        <v>8318371307832016</v>
      </c>
      <c r="J13" s="272" t="str">
        <f t="shared" si="4"/>
        <v/>
      </c>
      <c r="K13" s="272">
        <f t="shared" si="5"/>
        <v>8318371307832016</v>
      </c>
      <c r="L13" s="274">
        <f t="shared" si="16"/>
        <v>5.1825060109360294E+17</v>
      </c>
      <c r="M13" s="223" t="str">
        <f t="shared" si="6"/>
        <v/>
      </c>
      <c r="N13" s="223" t="str">
        <f t="shared" si="7"/>
        <v/>
      </c>
      <c r="O13" s="274">
        <f t="shared" si="8"/>
        <v>8318371307832016</v>
      </c>
      <c r="P13" s="272">
        <f t="shared" si="17"/>
        <v>7.762538928513496E-5</v>
      </c>
      <c r="Q13" s="274" t="str">
        <f t="shared" si="18"/>
        <v/>
      </c>
      <c r="R13" s="275" t="str">
        <f t="shared" si="19"/>
        <v/>
      </c>
      <c r="S13" s="276">
        <f>IF(AND(E13&gt;0.95*BiasLight,E13&lt;1.05*BiasLight),"",IF(AugerModel="Sinton",calclifetimeauger(Auger_Coefficient,I13,P13),calclifetimerichter(SampleType,I13,SampleDoping,P13)))</f>
        <v>12767.518860592136</v>
      </c>
      <c r="T13" s="278" t="str">
        <f t="shared" si="20"/>
        <v/>
      </c>
      <c r="U13" s="276">
        <f t="shared" si="14"/>
        <v>13305.674351023446</v>
      </c>
      <c r="V13" s="275" t="str">
        <f>IF(AugerModel="Sinton","",IF(SampleType="n-type",n_intr_boltzmann(SampleDoping,0,K13,298.15),n_intr_boltzmann(0,SampleDoping,K13,298.15)))</f>
        <v/>
      </c>
      <c r="W13" s="275" t="str">
        <f t="shared" si="15"/>
        <v/>
      </c>
      <c r="X13" s="270" t="str">
        <f>IF(AND(A13&gt;TimeofMaxCD,I13&gt;Traps),IF(AugerModel="Sinton",CalcImpliedV(SampleDoping,O13),CalcImpliedVRichter(O13,SampleDoping,V13)),"")</f>
        <v/>
      </c>
      <c r="Y13" s="277" t="str">
        <f>IF(OR(P13="",P13&lt;0,A13&lt;=TimeofMaxCD),"",(O13*Thickness*1.602E-19/(0.038*OptConst*P13)))</f>
        <v/>
      </c>
      <c r="Z13" s="279" t="str">
        <f>IF(Y13="","",($AC$6*X13*(1-Y13)))</f>
        <v/>
      </c>
      <c r="AA13" s="279" t="str">
        <f t="shared" si="11"/>
        <v/>
      </c>
      <c r="AB13" s="226" t="str">
        <f t="shared" si="12"/>
        <v/>
      </c>
    </row>
    <row r="14" spans="1:34">
      <c r="A14" s="268">
        <v>5.4989999999999998E-4</v>
      </c>
      <c r="B14" s="268">
        <v>5.13089</v>
      </c>
      <c r="C14" s="269">
        <v>0.35718699999999998</v>
      </c>
      <c r="D14" s="270">
        <f>IF(CouplingMode="AC",B14-(A$11-A$10)*SUM(B$9:B14)/0.21,B14)</f>
        <v>5.13089</v>
      </c>
      <c r="E14" s="271">
        <f t="shared" si="13"/>
        <v>42.468424397459863</v>
      </c>
      <c r="F14" s="271">
        <f t="shared" si="0"/>
        <v>42.468424397459863</v>
      </c>
      <c r="G14" s="272">
        <f t="shared" si="1"/>
        <v>7.05156110469683E+18</v>
      </c>
      <c r="H14" s="273">
        <f t="shared" si="2"/>
        <v>0.14736738211087066</v>
      </c>
      <c r="I14" s="272">
        <f t="shared" si="3"/>
        <v>8100663770522564</v>
      </c>
      <c r="J14" s="272" t="str">
        <f t="shared" si="4"/>
        <v/>
      </c>
      <c r="K14" s="272">
        <f t="shared" si="5"/>
        <v>8100663770522564</v>
      </c>
      <c r="L14" s="274">
        <f t="shared" si="16"/>
        <v>-2.0007625718766403E+18</v>
      </c>
      <c r="M14" s="223" t="str">
        <f t="shared" si="6"/>
        <v/>
      </c>
      <c r="N14" s="223" t="str">
        <f t="shared" si="7"/>
        <v/>
      </c>
      <c r="O14" s="274">
        <f t="shared" si="8"/>
        <v>8100663770522564</v>
      </c>
      <c r="P14" s="272">
        <f t="shared" si="17"/>
        <v>7.8848284365177687E-5</v>
      </c>
      <c r="Q14" s="274" t="str">
        <f t="shared" si="18"/>
        <v/>
      </c>
      <c r="R14" s="275" t="str">
        <f t="shared" si="19"/>
        <v/>
      </c>
      <c r="S14" s="276">
        <f>IF(AND(E14&gt;0.95*BiasLight,E14&lt;1.05*BiasLight),"",IF(AugerModel="Sinton",calclifetimeauger(Auger_Coefficient,I14,P14),calclifetimerichter(SampleType,I14,SampleDoping,P14)))</f>
        <v>12573.653679563533</v>
      </c>
      <c r="T14" s="278" t="str">
        <f t="shared" si="20"/>
        <v/>
      </c>
      <c r="U14" s="276">
        <f t="shared" si="14"/>
        <v>12991.559451297937</v>
      </c>
      <c r="V14" s="275" t="str">
        <f>IF(AugerModel="Sinton","",IF(SampleType="n-type",n_intr_boltzmann(SampleDoping,0,K14,298.15),n_intr_boltzmann(0,SampleDoping,K14,298.15)))</f>
        <v/>
      </c>
      <c r="W14" s="275" t="str">
        <f t="shared" si="15"/>
        <v/>
      </c>
      <c r="X14" s="270">
        <f>IF(AND(A14&gt;TimeofMaxCD,I14&gt;Traps),IF(AugerModel="Sinton",CalcImpliedV(SampleDoping,O14),CalcImpliedVRichter(O14,SampleDoping,V14)),"")</f>
        <v>0.70710306802994427</v>
      </c>
      <c r="Y14" s="277">
        <f t="shared" si="9"/>
        <v>43.311903776445746</v>
      </c>
      <c r="Z14" s="279">
        <f t="shared" si="10"/>
        <v>-1.0471606941079401</v>
      </c>
      <c r="AA14" s="279">
        <f t="shared" si="11"/>
        <v>-1.4809166321756013</v>
      </c>
      <c r="AB14" s="226" t="str">
        <f t="shared" si="12"/>
        <v/>
      </c>
    </row>
    <row r="15" spans="1:34">
      <c r="A15" s="268">
        <v>6.4990000000000002E-4</v>
      </c>
      <c r="B15" s="268">
        <v>4.9720800000000001</v>
      </c>
      <c r="C15" s="269">
        <v>0.33249899999999999</v>
      </c>
      <c r="D15" s="270">
        <f>IF(CouplingMode="AC",B15-(A$11-A$10)*SUM(B$9:B15)/0.21,B15)</f>
        <v>4.9720800000000001</v>
      </c>
      <c r="E15" s="271">
        <f t="shared" si="13"/>
        <v>39.533097911544957</v>
      </c>
      <c r="F15" s="271">
        <f t="shared" si="0"/>
        <v>39.533097911544957</v>
      </c>
      <c r="G15" s="272">
        <f t="shared" si="1"/>
        <v>6.5641723124038441E+18</v>
      </c>
      <c r="H15" s="273">
        <f t="shared" si="2"/>
        <v>0.14264929918708757</v>
      </c>
      <c r="I15" s="272">
        <f t="shared" si="3"/>
        <v>7819653846977320</v>
      </c>
      <c r="J15" s="272" t="str">
        <f t="shared" si="4"/>
        <v/>
      </c>
      <c r="K15" s="272">
        <f t="shared" si="5"/>
        <v>7819653846977320</v>
      </c>
      <c r="L15" s="274">
        <f t="shared" si="16"/>
        <v>-2.7266238535964769E+18</v>
      </c>
      <c r="M15" s="223" t="str">
        <f t="shared" si="6"/>
        <v/>
      </c>
      <c r="N15" s="223" t="str">
        <f t="shared" si="7"/>
        <v/>
      </c>
      <c r="O15" s="274">
        <f t="shared" si="8"/>
        <v>7819653846977320</v>
      </c>
      <c r="P15" s="272">
        <f t="shared" si="17"/>
        <v>8.1032250714042754E-5</v>
      </c>
      <c r="Q15" s="274" t="str">
        <f t="shared" si="18"/>
        <v/>
      </c>
      <c r="R15" s="275" t="str">
        <f t="shared" si="19"/>
        <v/>
      </c>
      <c r="S15" s="276">
        <f>IF(AND(E15&gt;0.95*BiasLight,E15&lt;1.05*BiasLight),"",IF(AugerModel="Sinton",calclifetimeauger(Auger_Coefficient,I15,P15),calclifetimerichter(SampleType,I15,SampleDoping,P15)))</f>
        <v>12239.261453411029</v>
      </c>
      <c r="T15" s="278" t="str">
        <f t="shared" si="20"/>
        <v/>
      </c>
      <c r="U15" s="276">
        <f t="shared" si="14"/>
        <v>12586.109988926681</v>
      </c>
      <c r="V15" s="275" t="str">
        <f>IF(AugerModel="Sinton","",IF(SampleType="n-type",n_intr_boltzmann(SampleDoping,0,K15,298.15),n_intr_boltzmann(0,SampleDoping,K15,298.15)))</f>
        <v/>
      </c>
      <c r="W15" s="275" t="str">
        <f t="shared" si="15"/>
        <v/>
      </c>
      <c r="X15" s="270">
        <f>IF(AND(A15&gt;TimeofMaxCD,I15&gt;Traps),IF(AugerModel="Sinton",CalcImpliedV(SampleDoping,O15),CalcImpliedVRichter(O15,SampleDoping,V15)),"")</f>
        <v>0.70530152780345312</v>
      </c>
      <c r="Y15" s="277">
        <f t="shared" si="9"/>
        <v>40.682585125613791</v>
      </c>
      <c r="Z15" s="279">
        <f t="shared" si="10"/>
        <v>-0.97958657707000973</v>
      </c>
      <c r="AA15" s="279">
        <f t="shared" si="11"/>
        <v>-1.3888904793964829</v>
      </c>
      <c r="AB15" s="226" t="str">
        <f t="shared" si="12"/>
        <v/>
      </c>
    </row>
    <row r="16" spans="1:34">
      <c r="A16" s="268">
        <v>7.4989999999999996E-4</v>
      </c>
      <c r="B16" s="268">
        <v>4.8066899999999997</v>
      </c>
      <c r="C16" s="269">
        <v>0.30996299999999999</v>
      </c>
      <c r="D16" s="270">
        <f>IF(CouplingMode="AC",B16-(A$11-A$10)*SUM(B$9:B16)/0.21,B16)</f>
        <v>4.8066899999999997</v>
      </c>
      <c r="E16" s="271">
        <f t="shared" si="13"/>
        <v>36.853637538627815</v>
      </c>
      <c r="F16" s="271">
        <f t="shared" si="0"/>
        <v>36.853637538627815</v>
      </c>
      <c r="G16" s="272">
        <f t="shared" si="1"/>
        <v>6.1192681556023706E+18</v>
      </c>
      <c r="H16" s="273">
        <f t="shared" si="2"/>
        <v>0.13774637915552032</v>
      </c>
      <c r="I16" s="272">
        <f t="shared" si="3"/>
        <v>7529106303172681</v>
      </c>
      <c r="J16" s="272" t="str">
        <f t="shared" si="4"/>
        <v/>
      </c>
      <c r="K16" s="272">
        <f t="shared" si="5"/>
        <v>7529106303172681</v>
      </c>
      <c r="L16" s="274">
        <f t="shared" si="16"/>
        <v>-2.8641545745117425E+18</v>
      </c>
      <c r="M16" s="223" t="str">
        <f t="shared" si="6"/>
        <v/>
      </c>
      <c r="N16" s="223" t="str">
        <f t="shared" si="7"/>
        <v/>
      </c>
      <c r="O16" s="274">
        <f t="shared" si="8"/>
        <v>7529106303172681</v>
      </c>
      <c r="P16" s="272">
        <f t="shared" si="17"/>
        <v>8.3395180613490781E-5</v>
      </c>
      <c r="Q16" s="274" t="str">
        <f t="shared" si="18"/>
        <v/>
      </c>
      <c r="R16" s="275" t="str">
        <f t="shared" si="19"/>
        <v/>
      </c>
      <c r="S16" s="276">
        <f>IF(AND(E16&gt;0.95*BiasLight,E16&lt;1.05*BiasLight),"",IF(AugerModel="Sinton",calclifetimeauger(Auger_Coefficient,I16,P16),calclifetimerichter(SampleType,I16,SampleDoping,P16)))</f>
        <v>11896.999443241515</v>
      </c>
      <c r="T16" s="278" t="str">
        <f t="shared" si="20"/>
        <v/>
      </c>
      <c r="U16" s="276">
        <f t="shared" si="14"/>
        <v>12166.899364822464</v>
      </c>
      <c r="V16" s="275" t="str">
        <f>IF(AugerModel="Sinton","",IF(SampleType="n-type",n_intr_boltzmann(SampleDoping,0,K16,298.15),n_intr_boltzmann(0,SampleDoping,K16,298.15)))</f>
        <v/>
      </c>
      <c r="W16" s="275" t="str">
        <f t="shared" si="15"/>
        <v/>
      </c>
      <c r="X16" s="270">
        <f>IF(AND(A16&gt;TimeofMaxCD,I16&gt;Traps),IF(AugerModel="Sinton",CalcImpliedV(SampleDoping,O16),CalcImpliedVRichter(O16,SampleDoping,V16)),"")</f>
        <v>0.70336994076103387</v>
      </c>
      <c r="Y16" s="277">
        <f t="shared" si="9"/>
        <v>38.061104809250928</v>
      </c>
      <c r="Z16" s="279">
        <f t="shared" si="10"/>
        <v>-0.91236834829774538</v>
      </c>
      <c r="AA16" s="279">
        <f t="shared" si="11"/>
        <v>-1.2971386683237827</v>
      </c>
      <c r="AB16" s="226" t="str">
        <f t="shared" si="12"/>
        <v/>
      </c>
    </row>
    <row r="17" spans="1:28">
      <c r="A17" s="268">
        <v>8.499E-4</v>
      </c>
      <c r="B17" s="268">
        <v>4.6413799999999998</v>
      </c>
      <c r="C17" s="269">
        <v>0.288663</v>
      </c>
      <c r="D17" s="270">
        <f>IF(CouplingMode="AC",B17-(A$11-A$10)*SUM(B$9:B17)/0.21,B17)</f>
        <v>4.6413799999999998</v>
      </c>
      <c r="E17" s="271">
        <f t="shared" si="13"/>
        <v>34.32113372503467</v>
      </c>
      <c r="F17" s="271">
        <f t="shared" si="0"/>
        <v>34.32113372503467</v>
      </c>
      <c r="G17" s="272">
        <f t="shared" si="1"/>
        <v>5.6987650255051325E+18</v>
      </c>
      <c r="H17" s="273">
        <f t="shared" si="2"/>
        <v>0.13285668689573343</v>
      </c>
      <c r="I17" s="272">
        <f t="shared" si="3"/>
        <v>7240838114708719</v>
      </c>
      <c r="J17" s="272" t="str">
        <f t="shared" si="4"/>
        <v/>
      </c>
      <c r="K17" s="272">
        <f t="shared" si="5"/>
        <v>7240838114708719</v>
      </c>
      <c r="L17" s="274">
        <f t="shared" si="16"/>
        <v>-2.8389169354212977E+18</v>
      </c>
      <c r="M17" s="223" t="str">
        <f t="shared" si="6"/>
        <v/>
      </c>
      <c r="N17" s="223" t="str">
        <f t="shared" si="7"/>
        <v/>
      </c>
      <c r="O17" s="274">
        <f t="shared" si="8"/>
        <v>7240838114708719</v>
      </c>
      <c r="P17" s="272">
        <f t="shared" si="17"/>
        <v>8.5944823279292967E-5</v>
      </c>
      <c r="Q17" s="274" t="str">
        <f t="shared" si="18"/>
        <v/>
      </c>
      <c r="R17" s="275" t="str">
        <f t="shared" si="19"/>
        <v/>
      </c>
      <c r="S17" s="276">
        <f>IF(AND(E17&gt;0.95*BiasLight,E17&lt;1.05*BiasLight),"",IF(AugerModel="Sinton",calclifetimeauger(Auger_Coefficient,I17,P17),calclifetimerichter(SampleType,I17,SampleDoping,P17)))</f>
        <v>11548.338749765946</v>
      </c>
      <c r="T17" s="278" t="str">
        <f t="shared" si="20"/>
        <v/>
      </c>
      <c r="U17" s="276">
        <f t="shared" si="14"/>
        <v>11750.977462289968</v>
      </c>
      <c r="V17" s="275" t="str">
        <f>IF(AugerModel="Sinton","",IF(SampleType="n-type",n_intr_boltzmann(SampleDoping,0,K17,298.15),n_intr_boltzmann(0,SampleDoping,K17,298.15)))</f>
        <v/>
      </c>
      <c r="W17" s="275" t="str">
        <f t="shared" si="15"/>
        <v/>
      </c>
      <c r="X17" s="270">
        <f>IF(AND(A17&gt;TimeofMaxCD,I17&gt;Traps),IF(AugerModel="Sinton",CalcImpliedV(SampleDoping,O17),CalcImpliedVRichter(O17,SampleDoping,V17)),"")</f>
        <v>0.70137894146629209</v>
      </c>
      <c r="Y17" s="277">
        <f t="shared" si="9"/>
        <v>35.517961338335965</v>
      </c>
      <c r="Z17" s="279">
        <f t="shared" si="10"/>
        <v>-0.84735599147697671</v>
      </c>
      <c r="AA17" s="279">
        <f t="shared" si="11"/>
        <v>-1.2081286468417589</v>
      </c>
      <c r="AB17" s="226" t="str">
        <f t="shared" si="12"/>
        <v/>
      </c>
    </row>
    <row r="18" spans="1:28">
      <c r="A18" s="268">
        <v>9.4990000000000005E-4</v>
      </c>
      <c r="B18" s="268">
        <v>4.4779799999999996</v>
      </c>
      <c r="C18" s="269">
        <v>0.268293</v>
      </c>
      <c r="D18" s="270">
        <f>IF(CouplingMode="AC",B18-(A$11-A$10)*SUM(B$9:B18)/0.21,B18)</f>
        <v>4.4779799999999996</v>
      </c>
      <c r="E18" s="271">
        <f t="shared" si="13"/>
        <v>31.899204021612491</v>
      </c>
      <c r="F18" s="271">
        <f t="shared" si="0"/>
        <v>31.899204021612491</v>
      </c>
      <c r="G18" s="272">
        <f t="shared" si="1"/>
        <v>5.2966218912290406E+18</v>
      </c>
      <c r="H18" s="273">
        <f t="shared" si="2"/>
        <v>0.12803415658264358</v>
      </c>
      <c r="I18" s="272">
        <f t="shared" si="3"/>
        <v>6957994349400993</v>
      </c>
      <c r="J18" s="272" t="str">
        <f t="shared" si="4"/>
        <v/>
      </c>
      <c r="K18" s="272">
        <f t="shared" si="5"/>
        <v>6957994349400993</v>
      </c>
      <c r="L18" s="274">
        <f t="shared" si="16"/>
        <v>-2.7653251995705185E+18</v>
      </c>
      <c r="M18" s="223" t="str">
        <f t="shared" si="6"/>
        <v/>
      </c>
      <c r="N18" s="223" t="str">
        <f t="shared" si="7"/>
        <v/>
      </c>
      <c r="O18" s="274">
        <f t="shared" si="8"/>
        <v>6957994349400993</v>
      </c>
      <c r="P18" s="272">
        <f t="shared" si="17"/>
        <v>8.8714450952453051E-5</v>
      </c>
      <c r="Q18" s="274" t="str">
        <f t="shared" si="18"/>
        <v/>
      </c>
      <c r="R18" s="275" t="str">
        <f t="shared" si="19"/>
        <v/>
      </c>
      <c r="S18" s="276">
        <f>IF(AND(E18&gt;0.95*BiasLight,E18&lt;1.05*BiasLight),"",IF(AugerModel="Sinton",calclifetimeauger(Auger_Coefficient,I18,P18),calclifetimerichter(SampleType,I18,SampleDoping,P18)))</f>
        <v>11191.753993899069</v>
      </c>
      <c r="T18" s="278" t="str">
        <f t="shared" si="20"/>
        <v/>
      </c>
      <c r="U18" s="276">
        <f t="shared" si="14"/>
        <v>11342.882078567281</v>
      </c>
      <c r="V18" s="275" t="str">
        <f>IF(AugerModel="Sinton","",IF(SampleType="n-type",n_intr_boltzmann(SampleDoping,0,K18,298.15),n_intr_boltzmann(0,SampleDoping,K18,298.15)))</f>
        <v/>
      </c>
      <c r="W18" s="275" t="str">
        <f t="shared" si="15"/>
        <v/>
      </c>
      <c r="X18" s="270">
        <f>IF(AND(A18&gt;TimeofMaxCD,I18&gt;Traps),IF(AugerModel="Sinton",CalcImpliedV(SampleDoping,O18),CalcImpliedVRichter(O18,SampleDoping,V18)),"")</f>
        <v>0.69934742084653756</v>
      </c>
      <c r="Y18" s="277">
        <f t="shared" si="9"/>
        <v>33.065006908378798</v>
      </c>
      <c r="Z18" s="279">
        <f t="shared" si="10"/>
        <v>-0.7848602958280394</v>
      </c>
      <c r="AA18" s="279">
        <f t="shared" si="11"/>
        <v>-1.122275241793258</v>
      </c>
      <c r="AB18" s="226" t="str">
        <f t="shared" si="12"/>
        <v/>
      </c>
    </row>
    <row r="19" spans="1:28">
      <c r="A19" s="268">
        <v>1.0499000000000001E-3</v>
      </c>
      <c r="B19" s="268">
        <v>4.3195600000000001</v>
      </c>
      <c r="C19" s="269">
        <v>0.24960499999999999</v>
      </c>
      <c r="D19" s="270">
        <f>IF(CouplingMode="AC",B19-(A$11-A$10)*SUM(B$9:B19)/0.21,B19)</f>
        <v>4.3195600000000001</v>
      </c>
      <c r="E19" s="271">
        <f t="shared" si="13"/>
        <v>29.677258891639308</v>
      </c>
      <c r="F19" s="271">
        <f t="shared" si="0"/>
        <v>29.677258891639308</v>
      </c>
      <c r="G19" s="272">
        <f t="shared" si="1"/>
        <v>4.9276846848789361E+18</v>
      </c>
      <c r="H19" s="273">
        <f t="shared" si="2"/>
        <v>0.12336872860670454</v>
      </c>
      <c r="I19" s="272">
        <f t="shared" si="3"/>
        <v>6685751356152515</v>
      </c>
      <c r="J19" s="272" t="str">
        <f t="shared" si="4"/>
        <v/>
      </c>
      <c r="K19" s="272">
        <f t="shared" si="5"/>
        <v>6685751356152515</v>
      </c>
      <c r="L19" s="274">
        <f t="shared" si="16"/>
        <v>-2.66916271329504E+18</v>
      </c>
      <c r="M19" s="223" t="str">
        <f t="shared" si="6"/>
        <v/>
      </c>
      <c r="N19" s="223" t="str">
        <f t="shared" si="7"/>
        <v/>
      </c>
      <c r="O19" s="274">
        <f t="shared" si="8"/>
        <v>6685751356152515</v>
      </c>
      <c r="P19" s="272">
        <f t="shared" si="17"/>
        <v>9.1504586756476668E-5</v>
      </c>
      <c r="Q19" s="274" t="str">
        <f t="shared" si="18"/>
        <v/>
      </c>
      <c r="R19" s="275" t="str">
        <f t="shared" si="19"/>
        <v/>
      </c>
      <c r="S19" s="276">
        <f>IF(AND(E19&gt;0.95*BiasLight,E19&lt;1.05*BiasLight),"",IF(AugerModel="Sinton",calclifetimeauger(Auger_Coefficient,I19,P19),calclifetimerichter(SampleType,I19,SampleDoping,P19)))</f>
        <v>10854.213133602732</v>
      </c>
      <c r="T19" s="278" t="str">
        <f t="shared" si="20"/>
        <v/>
      </c>
      <c r="U19" s="276">
        <f t="shared" si="14"/>
        <v>10950.081803565017</v>
      </c>
      <c r="V19" s="275" t="str">
        <f>IF(AugerModel="Sinton","",IF(SampleType="n-type",n_intr_boltzmann(SampleDoping,0,K19,298.15),n_intr_boltzmann(0,SampleDoping,K19,298.15)))</f>
        <v/>
      </c>
      <c r="W19" s="275" t="str">
        <f t="shared" si="15"/>
        <v/>
      </c>
      <c r="X19" s="270">
        <f>IF(AND(A19&gt;TimeofMaxCD,I19&gt;Traps),IF(AugerModel="Sinton",CalcImpliedV(SampleDoping,O19),CalcImpliedVRichter(O19,SampleDoping,V19)),"")</f>
        <v>0.69731311746605329</v>
      </c>
      <c r="Y19" s="277">
        <f t="shared" si="9"/>
        <v>30.80252169866527</v>
      </c>
      <c r="Z19" s="279">
        <f t="shared" si="10"/>
        <v>-0.72735912599160923</v>
      </c>
      <c r="AA19" s="279">
        <f t="shared" si="11"/>
        <v>-1.0430882594532846</v>
      </c>
      <c r="AB19" s="226" t="str">
        <f t="shared" si="12"/>
        <v/>
      </c>
    </row>
    <row r="20" spans="1:28">
      <c r="A20" s="268">
        <v>1.1498999999999999E-3</v>
      </c>
      <c r="B20" s="268">
        <v>4.1661599999999996</v>
      </c>
      <c r="C20" s="269">
        <v>0.23241600000000001</v>
      </c>
      <c r="D20" s="270">
        <f>IF(CouplingMode="AC",B20-(A$11-A$10)*SUM(B$9:B20)/0.21,B20)</f>
        <v>4.1661599999999996</v>
      </c>
      <c r="E20" s="271">
        <f t="shared" si="13"/>
        <v>27.633540203758908</v>
      </c>
      <c r="F20" s="271">
        <f t="shared" si="0"/>
        <v>27.633540203758908</v>
      </c>
      <c r="G20" s="272">
        <f t="shared" si="1"/>
        <v>4.5883406330835635E+18</v>
      </c>
      <c r="H20" s="273">
        <f t="shared" si="2"/>
        <v>0.11886063724576322</v>
      </c>
      <c r="I20" s="272">
        <f t="shared" si="3"/>
        <v>6423987082665524</v>
      </c>
      <c r="J20" s="272" t="str">
        <f t="shared" si="4"/>
        <v/>
      </c>
      <c r="K20" s="272">
        <f t="shared" si="5"/>
        <v>6423987082665524</v>
      </c>
      <c r="L20" s="274">
        <f t="shared" si="16"/>
        <v>-2.55953897855341E+18</v>
      </c>
      <c r="M20" s="223" t="str">
        <f t="shared" si="6"/>
        <v/>
      </c>
      <c r="N20" s="223" t="str">
        <f t="shared" si="7"/>
        <v/>
      </c>
      <c r="O20" s="274">
        <f t="shared" si="8"/>
        <v>6423987082665524</v>
      </c>
      <c r="P20" s="272">
        <f t="shared" si="17"/>
        <v>9.4321616593314472E-5</v>
      </c>
      <c r="Q20" s="274" t="str">
        <f t="shared" si="18"/>
        <v/>
      </c>
      <c r="R20" s="275" t="str">
        <f t="shared" si="19"/>
        <v/>
      </c>
      <c r="S20" s="276">
        <f>IF(AND(E20&gt;0.95*BiasLight,E20&lt;1.05*BiasLight),"",IF(AugerModel="Sinton",calclifetimeauger(Auger_Coefficient,I20,P20),calclifetimerichter(SampleType,I20,SampleDoping,P20)))</f>
        <v>10533.519313133955</v>
      </c>
      <c r="T20" s="278" t="str">
        <f t="shared" si="20"/>
        <v/>
      </c>
      <c r="U20" s="276">
        <f t="shared" si="14"/>
        <v>10572.400536603585</v>
      </c>
      <c r="V20" s="275" t="str">
        <f>IF(AugerModel="Sinton","",IF(SampleType="n-type",n_intr_boltzmann(SampleDoping,0,K20,298.15),n_intr_boltzmann(0,SampleDoping,K20,298.15)))</f>
        <v/>
      </c>
      <c r="W20" s="275" t="str">
        <f t="shared" si="15"/>
        <v/>
      </c>
      <c r="X20" s="270">
        <f>IF(AND(A20&gt;TimeofMaxCD,I20&gt;Traps),IF(AugerModel="Sinton",CalcImpliedV(SampleDoping,O20),CalcImpliedVRichter(O20,SampleDoping,V20)),"")</f>
        <v>0.6952780973623075</v>
      </c>
      <c r="Y20" s="277">
        <f t="shared" si="9"/>
        <v>28.712587952085897</v>
      </c>
      <c r="Z20" s="279">
        <f t="shared" si="10"/>
        <v>-0.67437843985091617</v>
      </c>
      <c r="AA20" s="279">
        <f t="shared" si="11"/>
        <v>-0.96994057832300651</v>
      </c>
      <c r="AB20" s="226" t="str">
        <f t="shared" si="12"/>
        <v/>
      </c>
    </row>
    <row r="21" spans="1:28">
      <c r="A21" s="268">
        <v>1.2499E-3</v>
      </c>
      <c r="B21" s="268">
        <v>4.0182200000000003</v>
      </c>
      <c r="C21" s="269">
        <v>0.216002</v>
      </c>
      <c r="D21" s="270">
        <f>IF(CouplingMode="AC",B21-(A$11-A$10)*SUM(B$9:B21)/0.21,B21)</f>
        <v>4.0182200000000003</v>
      </c>
      <c r="E21" s="271">
        <f t="shared" si="13"/>
        <v>25.681966607687642</v>
      </c>
      <c r="F21" s="271">
        <f t="shared" si="0"/>
        <v>25.681966607687642</v>
      </c>
      <c r="G21" s="272">
        <f t="shared" si="1"/>
        <v>4.2642965778058127E+18</v>
      </c>
      <c r="H21" s="273">
        <f t="shared" si="2"/>
        <v>0.1145218563047771</v>
      </c>
      <c r="I21" s="272">
        <f t="shared" si="3"/>
        <v>6173260391428934</v>
      </c>
      <c r="J21" s="272" t="str">
        <f t="shared" si="4"/>
        <v/>
      </c>
      <c r="K21" s="272">
        <f t="shared" si="5"/>
        <v>6173260391428934</v>
      </c>
      <c r="L21" s="274">
        <f t="shared" si="16"/>
        <v>-2.4491622585886049E+18</v>
      </c>
      <c r="M21" s="223" t="str">
        <f t="shared" si="6"/>
        <v/>
      </c>
      <c r="N21" s="223" t="str">
        <f t="shared" si="7"/>
        <v/>
      </c>
      <c r="O21" s="274">
        <f t="shared" si="8"/>
        <v>6173260391428934</v>
      </c>
      <c r="P21" s="272">
        <f t="shared" si="17"/>
        <v>9.741969287724936E-5</v>
      </c>
      <c r="Q21" s="274" t="str">
        <f t="shared" si="18"/>
        <v/>
      </c>
      <c r="R21" s="275" t="str">
        <f t="shared" si="19"/>
        <v/>
      </c>
      <c r="S21" s="276">
        <f>IF(AND(E21&gt;0.95*BiasLight,E21&lt;1.05*BiasLight),"",IF(AugerModel="Sinton",calclifetimeauger(Auger_Coefficient,I21,P21),calclifetimerichter(SampleType,I21,SampleDoping,P21)))</f>
        <v>10201.603865059418</v>
      </c>
      <c r="T21" s="278" t="str">
        <f t="shared" si="20"/>
        <v/>
      </c>
      <c r="U21" s="276">
        <f t="shared" si="14"/>
        <v>10210.644621077592</v>
      </c>
      <c r="V21" s="275" t="str">
        <f>IF(AugerModel="Sinton","",IF(SampleType="n-type",n_intr_boltzmann(SampleDoping,0,K21,298.15),n_intr_boltzmann(0,SampleDoping,K21,298.15)))</f>
        <v/>
      </c>
      <c r="W21" s="275" t="str">
        <f t="shared" si="15"/>
        <v/>
      </c>
      <c r="X21" s="270">
        <f>IF(AND(A21&gt;TimeofMaxCD,I21&gt;Traps),IF(AugerModel="Sinton",CalcImpliedV(SampleDoping,O21),CalcImpliedVRichter(O21,SampleDoping,V21)),"")</f>
        <v>0.69325026910031373</v>
      </c>
      <c r="Y21" s="277">
        <f t="shared" si="9"/>
        <v>26.714481854597889</v>
      </c>
      <c r="Z21" s="279">
        <f t="shared" si="10"/>
        <v>-0.62393000129162923</v>
      </c>
      <c r="AA21" s="279">
        <f t="shared" si="11"/>
        <v>-0.90000686491092619</v>
      </c>
      <c r="AB21" s="226" t="str">
        <f t="shared" si="12"/>
        <v/>
      </c>
    </row>
    <row r="22" spans="1:28">
      <c r="A22" s="268">
        <v>1.3499E-3</v>
      </c>
      <c r="B22" s="268">
        <v>3.8763899999999998</v>
      </c>
      <c r="C22" s="269">
        <v>0.20157600000000001</v>
      </c>
      <c r="D22" s="270">
        <f>IF(CouplingMode="AC",B22-(A$11-A$10)*SUM(B$9:B22)/0.21,B22)</f>
        <v>3.8763899999999998</v>
      </c>
      <c r="E22" s="271">
        <f t="shared" si="13"/>
        <v>23.966760034218407</v>
      </c>
      <c r="F22" s="271">
        <f t="shared" si="0"/>
        <v>23.966760034218407</v>
      </c>
      <c r="G22" s="272">
        <f t="shared" si="1"/>
        <v>3.9794994813371382E+18</v>
      </c>
      <c r="H22" s="273">
        <f t="shared" si="2"/>
        <v>0.11037043073304528</v>
      </c>
      <c r="I22" s="272">
        <f t="shared" si="3"/>
        <v>5934470342486079</v>
      </c>
      <c r="J22" s="272" t="str">
        <f t="shared" si="4"/>
        <v/>
      </c>
      <c r="K22" s="272">
        <f t="shared" si="5"/>
        <v>5934470342486079</v>
      </c>
      <c r="L22" s="274">
        <f t="shared" si="16"/>
        <v>-2.3393431407449078E+18</v>
      </c>
      <c r="M22" s="223" t="str">
        <f t="shared" si="6"/>
        <v/>
      </c>
      <c r="N22" s="223" t="str">
        <f t="shared" si="7"/>
        <v/>
      </c>
      <c r="O22" s="274">
        <f t="shared" si="8"/>
        <v>5934470342486079</v>
      </c>
      <c r="P22" s="272">
        <f t="shared" si="17"/>
        <v>1.0026249271370559E-4</v>
      </c>
      <c r="Q22" s="274" t="str">
        <f t="shared" si="18"/>
        <v/>
      </c>
      <c r="R22" s="275" t="str">
        <f t="shared" si="19"/>
        <v/>
      </c>
      <c r="S22" s="276">
        <f>IF(AND(E22&gt;0.95*BiasLight,E22&lt;1.05*BiasLight),"",IF(AugerModel="Sinton",calclifetimeauger(Auger_Coefficient,I22,P22),calclifetimerichter(SampleType,I22,SampleDoping,P22)))</f>
        <v>9915.3576731757494</v>
      </c>
      <c r="T22" s="278" t="str">
        <f t="shared" si="20"/>
        <v/>
      </c>
      <c r="U22" s="276">
        <f t="shared" si="14"/>
        <v>9866.111247515435</v>
      </c>
      <c r="V22" s="275" t="str">
        <f>IF(AugerModel="Sinton","",IF(SampleType="n-type",n_intr_boltzmann(SampleDoping,0,K22,298.15),n_intr_boltzmann(0,SampleDoping,K22,298.15)))</f>
        <v/>
      </c>
      <c r="W22" s="275" t="str">
        <f t="shared" si="15"/>
        <v/>
      </c>
      <c r="X22" s="270">
        <f>IF(AND(A22&gt;TimeofMaxCD,I22&gt;Traps),IF(AugerModel="Sinton",CalcImpliedV(SampleDoping,O22),CalcImpliedVRichter(O22,SampleDoping,V22)),"")</f>
        <v>0.69124160115478561</v>
      </c>
      <c r="Y22" s="277">
        <f t="shared" si="9"/>
        <v>24.952977853027182</v>
      </c>
      <c r="Z22" s="279">
        <f t="shared" si="10"/>
        <v>-0.57950531672430705</v>
      </c>
      <c r="AA22" s="279">
        <f t="shared" si="11"/>
        <v>-0.83835422485595146</v>
      </c>
      <c r="AB22" s="226" t="str">
        <f t="shared" si="12"/>
        <v/>
      </c>
    </row>
    <row r="23" spans="1:28">
      <c r="A23" s="268">
        <v>1.4499000000000001E-3</v>
      </c>
      <c r="B23" s="268">
        <v>3.7397800000000001</v>
      </c>
      <c r="C23" s="269">
        <v>0.187643</v>
      </c>
      <c r="D23" s="270">
        <f>IF(CouplingMode="AC",B23-(A$11-A$10)*SUM(B$9:B23)/0.21,B23)</f>
        <v>3.7397800000000001</v>
      </c>
      <c r="E23" s="271">
        <f t="shared" si="13"/>
        <v>22.310169628829051</v>
      </c>
      <c r="F23" s="271">
        <f t="shared" si="0"/>
        <v>22.310169628829051</v>
      </c>
      <c r="G23" s="272">
        <f t="shared" si="1"/>
        <v>3.7044351568467712E+18</v>
      </c>
      <c r="H23" s="273">
        <f t="shared" si="2"/>
        <v>0.10637935050735418</v>
      </c>
      <c r="I23" s="272">
        <f t="shared" si="3"/>
        <v>5705928596947935</v>
      </c>
      <c r="J23" s="272" t="str">
        <f t="shared" si="4"/>
        <v/>
      </c>
      <c r="K23" s="272">
        <f t="shared" si="5"/>
        <v>5705928596947935</v>
      </c>
      <c r="L23" s="274">
        <f t="shared" si="16"/>
        <v>-2.2347278382419141E+18</v>
      </c>
      <c r="M23" s="223" t="str">
        <f t="shared" si="6"/>
        <v/>
      </c>
      <c r="N23" s="223" t="str">
        <f t="shared" si="7"/>
        <v/>
      </c>
      <c r="O23" s="274">
        <f t="shared" si="8"/>
        <v>5705928596947935</v>
      </c>
      <c r="P23" s="272">
        <f t="shared" si="17"/>
        <v>1.0345217649866598E-4</v>
      </c>
      <c r="Q23" s="274" t="str">
        <f t="shared" si="18"/>
        <v/>
      </c>
      <c r="R23" s="275" t="str">
        <f t="shared" si="19"/>
        <v/>
      </c>
      <c r="S23" s="276">
        <f>IF(AND(E23&gt;0.95*BiasLight,E23&lt;1.05*BiasLight),"",IF(AugerModel="Sinton",calclifetimeauger(Auger_Coefficient,I23,P23),calclifetimerichter(SampleType,I23,SampleDoping,P23)))</f>
        <v>9612.2565364752263</v>
      </c>
      <c r="T23" s="278" t="str">
        <f t="shared" si="20"/>
        <v/>
      </c>
      <c r="U23" s="276">
        <f t="shared" si="14"/>
        <v>9536.3644304322661</v>
      </c>
      <c r="V23" s="275" t="str">
        <f>IF(AugerModel="Sinton","",IF(SampleType="n-type",n_intr_boltzmann(SampleDoping,0,K23,298.15),n_intr_boltzmann(0,SampleDoping,K23,298.15)))</f>
        <v/>
      </c>
      <c r="W23" s="275" t="str">
        <f t="shared" si="15"/>
        <v/>
      </c>
      <c r="X23" s="270">
        <f>IF(AND(A23&gt;TimeofMaxCD,I23&gt;Traps),IF(AugerModel="Sinton",CalcImpliedV(SampleDoping,O23),CalcImpliedVRichter(O23,SampleDoping,V23)),"")</f>
        <v>0.68924267629173663</v>
      </c>
      <c r="Y23" s="277">
        <f t="shared" si="9"/>
        <v>23.252283838529983</v>
      </c>
      <c r="Z23" s="279">
        <f t="shared" si="10"/>
        <v>-0.53680282832651183</v>
      </c>
      <c r="AA23" s="279">
        <f t="shared" si="11"/>
        <v>-0.77882993434854952</v>
      </c>
      <c r="AB23" s="226" t="str">
        <f t="shared" si="12"/>
        <v/>
      </c>
    </row>
    <row r="24" spans="1:28">
      <c r="A24" s="268">
        <v>1.5499000000000001E-3</v>
      </c>
      <c r="B24" s="268">
        <v>3.6086999999999998</v>
      </c>
      <c r="C24" s="269">
        <v>0.17460100000000001</v>
      </c>
      <c r="D24" s="270">
        <f>IF(CouplingMode="AC",B24-(A$11-A$10)*SUM(B$9:B24)/0.21,B24)</f>
        <v>3.6086999999999998</v>
      </c>
      <c r="E24" s="271">
        <f t="shared" si="13"/>
        <v>20.759516354797039</v>
      </c>
      <c r="F24" s="271">
        <f t="shared" si="0"/>
        <v>20.759516354797039</v>
      </c>
      <c r="G24" s="272">
        <f t="shared" si="1"/>
        <v>3.4469608928689213E+18</v>
      </c>
      <c r="H24" s="273">
        <f t="shared" si="2"/>
        <v>0.10255679808586146</v>
      </c>
      <c r="I24" s="272">
        <f t="shared" si="3"/>
        <v>5487981409533569</v>
      </c>
      <c r="J24" s="272" t="str">
        <f t="shared" si="4"/>
        <v/>
      </c>
      <c r="K24" s="272">
        <f t="shared" si="5"/>
        <v>5487981409533569</v>
      </c>
      <c r="L24" s="274">
        <f t="shared" si="16"/>
        <v>-2.1376516976826337E+18</v>
      </c>
      <c r="M24" s="223" t="str">
        <f t="shared" si="6"/>
        <v/>
      </c>
      <c r="N24" s="223" t="str">
        <f t="shared" si="7"/>
        <v/>
      </c>
      <c r="O24" s="274">
        <f t="shared" si="8"/>
        <v>5487981409533569</v>
      </c>
      <c r="P24" s="272">
        <f t="shared" si="17"/>
        <v>1.0681173087304521E-4</v>
      </c>
      <c r="Q24" s="274" t="str">
        <f t="shared" si="18"/>
        <v/>
      </c>
      <c r="R24" s="275" t="str">
        <f t="shared" si="19"/>
        <v/>
      </c>
      <c r="S24" s="276">
        <f>IF(AND(E24&gt;0.95*BiasLight,E24&lt;1.05*BiasLight),"",IF(AugerModel="Sinton",calclifetimeauger(Auger_Coefficient,I24,P24),calclifetimerichter(SampleType,I24,SampleDoping,P24)))</f>
        <v>9312.2717517796282</v>
      </c>
      <c r="T24" s="278" t="str">
        <f t="shared" si="20"/>
        <v/>
      </c>
      <c r="U24" s="276">
        <f t="shared" si="14"/>
        <v>9221.9037564189002</v>
      </c>
      <c r="V24" s="275" t="str">
        <f>IF(AugerModel="Sinton","",IF(SampleType="n-type",n_intr_boltzmann(SampleDoping,0,K24,298.15),n_intr_boltzmann(0,SampleDoping,K24,298.15)))</f>
        <v/>
      </c>
      <c r="W24" s="275" t="str">
        <f t="shared" si="15"/>
        <v/>
      </c>
      <c r="X24" s="270">
        <f>IF(AND(A24&gt;TimeofMaxCD,I24&gt;Traps),IF(AugerModel="Sinton",CalcImpliedV(SampleDoping,O24),CalcImpliedVRichter(O24,SampleDoping,V24)),"")</f>
        <v>0.68726111757772479</v>
      </c>
      <c r="Y24" s="277">
        <f t="shared" si="9"/>
        <v>21.660705307346404</v>
      </c>
      <c r="Z24" s="279">
        <f t="shared" si="10"/>
        <v>-0.49697547968148226</v>
      </c>
      <c r="AA24" s="279">
        <f t="shared" si="11"/>
        <v>-0.72312468575712419</v>
      </c>
      <c r="AB24" s="226" t="str">
        <f t="shared" si="12"/>
        <v/>
      </c>
    </row>
    <row r="25" spans="1:28">
      <c r="A25" s="268">
        <v>1.6498999999999999E-3</v>
      </c>
      <c r="B25" s="268">
        <v>3.4823499999999998</v>
      </c>
      <c r="C25" s="269">
        <v>0.16313800000000001</v>
      </c>
      <c r="D25" s="270">
        <f>IF(CouplingMode="AC",B25-(A$11-A$10)*SUM(B$9:B25)/0.21,B25)</f>
        <v>3.4823499999999998</v>
      </c>
      <c r="E25" s="271">
        <f t="shared" si="13"/>
        <v>19.396601274270363</v>
      </c>
      <c r="F25" s="271">
        <f t="shared" si="0"/>
        <v>19.396601274270363</v>
      </c>
      <c r="G25" s="272">
        <f t="shared" si="1"/>
        <v>3.2206591379250412E+18</v>
      </c>
      <c r="H25" s="273">
        <f t="shared" si="2"/>
        <v>9.887864103788202E-2</v>
      </c>
      <c r="I25" s="272">
        <f t="shared" si="3"/>
        <v>5279140938784232</v>
      </c>
      <c r="J25" s="272" t="str">
        <f t="shared" si="4"/>
        <v/>
      </c>
      <c r="K25" s="272">
        <f t="shared" si="5"/>
        <v>5279140938784232</v>
      </c>
      <c r="L25" s="274">
        <f t="shared" si="16"/>
        <v>-2.0429095137078917E+18</v>
      </c>
      <c r="M25" s="223" t="str">
        <f t="shared" si="6"/>
        <v/>
      </c>
      <c r="N25" s="223" t="str">
        <f t="shared" si="7"/>
        <v/>
      </c>
      <c r="O25" s="274">
        <f t="shared" si="8"/>
        <v>5279140938784232</v>
      </c>
      <c r="P25" s="272">
        <f t="shared" si="17"/>
        <v>1.0986233973516184E-4</v>
      </c>
      <c r="Q25" s="274" t="str">
        <f t="shared" si="18"/>
        <v/>
      </c>
      <c r="R25" s="275" t="str">
        <f t="shared" si="19"/>
        <v/>
      </c>
      <c r="S25" s="276">
        <f>IF(AND(E25&gt;0.95*BiasLight,E25&lt;1.05*BiasLight),"",IF(AugerModel="Sinton",calclifetimeauger(Auger_Coefficient,I25,P25),calclifetimerichter(SampleType,I25,SampleDoping,P25)))</f>
        <v>9056.0371415925947</v>
      </c>
      <c r="T25" s="278" t="str">
        <f t="shared" si="20"/>
        <v/>
      </c>
      <c r="U25" s="276">
        <f t="shared" si="14"/>
        <v>8920.5825236367218</v>
      </c>
      <c r="V25" s="275" t="str">
        <f>IF(AugerModel="Sinton","",IF(SampleType="n-type",n_intr_boltzmann(SampleDoping,0,K25,298.15),n_intr_boltzmann(0,SampleDoping,K25,298.15)))</f>
        <v/>
      </c>
      <c r="W25" s="275" t="str">
        <f t="shared" si="15"/>
        <v/>
      </c>
      <c r="X25" s="270">
        <f>IF(AND(A25&gt;TimeofMaxCD,I25&gt;Traps),IF(AugerModel="Sinton",CalcImpliedV(SampleDoping,O25),CalcImpliedVRichter(O25,SampleDoping,V25)),"")</f>
        <v>0.68528784751783256</v>
      </c>
      <c r="Y25" s="277">
        <f t="shared" si="9"/>
        <v>20.257848916628266</v>
      </c>
      <c r="Z25" s="279">
        <f t="shared" si="10"/>
        <v>-0.46190094411649329</v>
      </c>
      <c r="AA25" s="279">
        <f t="shared" si="11"/>
        <v>-0.67402471208198933</v>
      </c>
      <c r="AB25" s="226" t="str">
        <f t="shared" si="12"/>
        <v/>
      </c>
    </row>
    <row r="26" spans="1:28">
      <c r="A26" s="268">
        <v>1.7499E-3</v>
      </c>
      <c r="B26" s="268">
        <v>3.3605900000000002</v>
      </c>
      <c r="C26" s="269">
        <v>0.15195600000000001</v>
      </c>
      <c r="D26" s="270">
        <f>IF(CouplingMode="AC",B26-(A$11-A$10)*SUM(B$9:B26)/0.21,B26)</f>
        <v>3.3605900000000002</v>
      </c>
      <c r="E26" s="271">
        <f t="shared" si="13"/>
        <v>18.067096220580289</v>
      </c>
      <c r="F26" s="271">
        <f t="shared" si="0"/>
        <v>18.067096220580289</v>
      </c>
      <c r="G26" s="272">
        <f t="shared" si="1"/>
        <v>2.9999048655894861E+18</v>
      </c>
      <c r="H26" s="273">
        <f t="shared" si="2"/>
        <v>9.534010203652038E-2</v>
      </c>
      <c r="I26" s="272">
        <f t="shared" si="3"/>
        <v>5079038322726614</v>
      </c>
      <c r="J26" s="272" t="str">
        <f t="shared" si="4"/>
        <v/>
      </c>
      <c r="K26" s="272">
        <f t="shared" si="5"/>
        <v>5079038322726614</v>
      </c>
      <c r="L26" s="274">
        <f t="shared" si="16"/>
        <v>-1.9520023052453053E+18</v>
      </c>
      <c r="M26" s="223" t="str">
        <f t="shared" si="6"/>
        <v/>
      </c>
      <c r="N26" s="223" t="str">
        <f t="shared" si="7"/>
        <v/>
      </c>
      <c r="O26" s="274">
        <f t="shared" si="8"/>
        <v>5079038322726614</v>
      </c>
      <c r="P26" s="272">
        <f t="shared" si="17"/>
        <v>1.1335169096419158E-4</v>
      </c>
      <c r="Q26" s="274" t="str">
        <f t="shared" si="18"/>
        <v/>
      </c>
      <c r="R26" s="275" t="str">
        <f t="shared" si="19"/>
        <v/>
      </c>
      <c r="S26" s="276">
        <f>IF(AND(E26&gt;0.95*BiasLight,E26&lt;1.05*BiasLight),"",IF(AugerModel="Sinton",calclifetimeauger(Auger_Coefficient,I26,P26),calclifetimerichter(SampleType,I26,SampleDoping,P26)))</f>
        <v>8779.2780096452225</v>
      </c>
      <c r="T26" s="278" t="str">
        <f t="shared" si="20"/>
        <v/>
      </c>
      <c r="U26" s="276">
        <f t="shared" si="14"/>
        <v>8631.8685270771639</v>
      </c>
      <c r="V26" s="275" t="str">
        <f>IF(AugerModel="Sinton","",IF(SampleType="n-type",n_intr_boltzmann(SampleDoping,0,K26,298.15),n_intr_boltzmann(0,SampleDoping,K26,298.15)))</f>
        <v/>
      </c>
      <c r="W26" s="275" t="str">
        <f t="shared" si="15"/>
        <v/>
      </c>
      <c r="X26" s="270">
        <f>IF(AND(A26&gt;TimeofMaxCD,I26&gt;Traps),IF(AugerModel="Sinton",CalcImpliedV(SampleDoping,O26),CalcImpliedVRichter(O26,SampleDoping,V26)),"")</f>
        <v>0.68332326993305692</v>
      </c>
      <c r="Y26" s="277">
        <f t="shared" si="9"/>
        <v>18.890019297686337</v>
      </c>
      <c r="Z26" s="279">
        <f t="shared" si="10"/>
        <v>-0.42786332699811819</v>
      </c>
      <c r="AA26" s="279">
        <f t="shared" si="11"/>
        <v>-0.62615067541902181</v>
      </c>
      <c r="AB26" s="226" t="str">
        <f t="shared" si="12"/>
        <v/>
      </c>
    </row>
    <row r="27" spans="1:28">
      <c r="A27" s="268">
        <v>1.8499E-3</v>
      </c>
      <c r="B27" s="268">
        <v>3.2442799999999998</v>
      </c>
      <c r="C27" s="269">
        <v>0.14188799999999999</v>
      </c>
      <c r="D27" s="270">
        <f>IF(CouplingMode="AC",B27-(A$11-A$10)*SUM(B$9:B27)/0.21,B27)</f>
        <v>3.2442799999999998</v>
      </c>
      <c r="E27" s="271">
        <f t="shared" si="13"/>
        <v>16.870042305310061</v>
      </c>
      <c r="F27" s="271">
        <f t="shared" si="0"/>
        <v>16.870042305310061</v>
      </c>
      <c r="G27" s="272">
        <f t="shared" si="1"/>
        <v>2.8011431043773261E+18</v>
      </c>
      <c r="H27" s="273">
        <f t="shared" si="2"/>
        <v>9.1965447472552128E-2</v>
      </c>
      <c r="I27" s="272">
        <f t="shared" si="3"/>
        <v>4888945383497467</v>
      </c>
      <c r="J27" s="272" t="str">
        <f t="shared" si="4"/>
        <v/>
      </c>
      <c r="K27" s="272">
        <f t="shared" si="5"/>
        <v>4888945383497467</v>
      </c>
      <c r="L27" s="274">
        <f t="shared" si="16"/>
        <v>-1.861469195845825E+18</v>
      </c>
      <c r="M27" s="223" t="str">
        <f t="shared" si="6"/>
        <v/>
      </c>
      <c r="N27" s="223" t="str">
        <f t="shared" si="7"/>
        <v/>
      </c>
      <c r="O27" s="274">
        <f t="shared" si="8"/>
        <v>4888945383497467</v>
      </c>
      <c r="P27" s="272">
        <f t="shared" si="17"/>
        <v>1.1674313049101478E-4</v>
      </c>
      <c r="Q27" s="274" t="str">
        <f t="shared" si="18"/>
        <v/>
      </c>
      <c r="R27" s="275" t="str">
        <f t="shared" si="19"/>
        <v/>
      </c>
      <c r="S27" s="276">
        <f>IF(AND(E27&gt;0.95*BiasLight,E27&lt;1.05*BiasLight),"",IF(AugerModel="Sinton",calclifetimeauger(Auger_Coefficient,I27,P27),calclifetimerichter(SampleType,I27,SampleDoping,P27)))</f>
        <v>8526.1375341956973</v>
      </c>
      <c r="T27" s="278" t="str">
        <f t="shared" si="20"/>
        <v/>
      </c>
      <c r="U27" s="276">
        <f t="shared" si="14"/>
        <v>8357.5967894863024</v>
      </c>
      <c r="V27" s="275" t="str">
        <f>IF(AugerModel="Sinton","",IF(SampleType="n-type",n_intr_boltzmann(SampleDoping,0,K27,298.15),n_intr_boltzmann(0,SampleDoping,K27,298.15)))</f>
        <v/>
      </c>
      <c r="W27" s="275" t="str">
        <f t="shared" si="15"/>
        <v/>
      </c>
      <c r="X27" s="270">
        <f>IF(AND(A27&gt;TimeofMaxCD,I27&gt;Traps),IF(AugerModel="Sinton",CalcImpliedV(SampleDoping,O27),CalcImpliedVRichter(O27,SampleDoping,V27)),"")</f>
        <v>0.68138470263811135</v>
      </c>
      <c r="Y27" s="277">
        <f t="shared" si="9"/>
        <v>17.654798529453487</v>
      </c>
      <c r="Z27" s="279">
        <f t="shared" si="10"/>
        <v>-0.3971913730221262</v>
      </c>
      <c r="AA27" s="279">
        <f t="shared" si="11"/>
        <v>-0.58291794853087209</v>
      </c>
      <c r="AB27" s="226" t="str">
        <f t="shared" si="12"/>
        <v/>
      </c>
    </row>
    <row r="28" spans="1:28">
      <c r="A28" s="268">
        <v>1.9499000000000001E-3</v>
      </c>
      <c r="B28" s="268">
        <v>3.1324100000000001</v>
      </c>
      <c r="C28" s="269">
        <v>0.13259299999999999</v>
      </c>
      <c r="D28" s="270">
        <f>IF(CouplingMode="AC",B28-(A$11-A$10)*SUM(B$9:B28)/0.21,B28)</f>
        <v>3.1324100000000001</v>
      </c>
      <c r="E28" s="271">
        <f t="shared" si="13"/>
        <v>15.764895688063664</v>
      </c>
      <c r="F28" s="271">
        <f t="shared" si="0"/>
        <v>15.764895688063664</v>
      </c>
      <c r="G28" s="272">
        <f t="shared" si="1"/>
        <v>2.6176418558208077E+18</v>
      </c>
      <c r="H28" s="273">
        <f t="shared" si="2"/>
        <v>8.8724685610080678E-2</v>
      </c>
      <c r="I28" s="272">
        <f t="shared" si="3"/>
        <v>4707078034554299</v>
      </c>
      <c r="J28" s="272" t="str">
        <f t="shared" si="4"/>
        <v/>
      </c>
      <c r="K28" s="272">
        <f t="shared" si="5"/>
        <v>4707078034554299</v>
      </c>
      <c r="L28" s="274">
        <f t="shared" si="16"/>
        <v>-1.7733598918471058E+18</v>
      </c>
      <c r="M28" s="223" t="str">
        <f t="shared" si="6"/>
        <v/>
      </c>
      <c r="N28" s="223" t="str">
        <f t="shared" si="7"/>
        <v/>
      </c>
      <c r="O28" s="274">
        <f t="shared" si="8"/>
        <v>4707078034554299</v>
      </c>
      <c r="P28" s="272">
        <f t="shared" si="17"/>
        <v>1.201758774037065E-4</v>
      </c>
      <c r="Q28" s="274" t="str">
        <f t="shared" si="18"/>
        <v/>
      </c>
      <c r="R28" s="275" t="str">
        <f t="shared" si="19"/>
        <v/>
      </c>
      <c r="S28" s="276">
        <f>IF(AND(E28&gt;0.95*BiasLight,E28&lt;1.05*BiasLight),"",IF(AugerModel="Sinton",calclifetimeauger(Auger_Coefficient,I28,P28),calclifetimerichter(SampleType,I28,SampleDoping,P28)))</f>
        <v>8284.3575706910342</v>
      </c>
      <c r="T28" s="278" t="str">
        <f t="shared" si="20"/>
        <v/>
      </c>
      <c r="U28" s="276">
        <f t="shared" si="14"/>
        <v>8095.1931778216021</v>
      </c>
      <c r="V28" s="275" t="str">
        <f>IF(AugerModel="Sinton","",IF(SampleType="n-type",n_intr_boltzmann(SampleDoping,0,K28,298.15),n_intr_boltzmann(0,SampleDoping,K28,298.15)))</f>
        <v/>
      </c>
      <c r="W28" s="275" t="str">
        <f t="shared" si="15"/>
        <v/>
      </c>
      <c r="X28" s="270">
        <f>IF(AND(A28&gt;TimeofMaxCD,I28&gt;Traps),IF(AugerModel="Sinton",CalcImpliedV(SampleDoping,O28),CalcImpliedVRichter(O28,SampleDoping,V28)),"")</f>
        <v>0.67945893510604771</v>
      </c>
      <c r="Y28" s="277">
        <f t="shared" si="9"/>
        <v>16.512506884573945</v>
      </c>
      <c r="Z28" s="279">
        <f t="shared" si="10"/>
        <v>-0.36890389930162465</v>
      </c>
      <c r="AA28" s="279">
        <f t="shared" si="11"/>
        <v>-0.54293774096008818</v>
      </c>
      <c r="AB28" s="226" t="str">
        <f t="shared" si="12"/>
        <v/>
      </c>
    </row>
    <row r="29" spans="1:28">
      <c r="A29" s="268">
        <v>2.0498999999999999E-3</v>
      </c>
      <c r="B29" s="268">
        <v>3.0256400000000001</v>
      </c>
      <c r="C29" s="269">
        <v>0.12359000000000001</v>
      </c>
      <c r="D29" s="270">
        <f>IF(CouplingMode="AC",B29-(A$11-A$10)*SUM(B$9:B29)/0.21,B29)</f>
        <v>3.0256400000000001</v>
      </c>
      <c r="E29" s="271">
        <f t="shared" si="13"/>
        <v>14.694466963473097</v>
      </c>
      <c r="F29" s="271">
        <f t="shared" si="0"/>
        <v>14.694466963473097</v>
      </c>
      <c r="G29" s="272">
        <f t="shared" si="1"/>
        <v>2.4399052511135104E+18</v>
      </c>
      <c r="H29" s="273">
        <f t="shared" si="2"/>
        <v>8.5636301427624739E-2</v>
      </c>
      <c r="I29" s="272">
        <f t="shared" si="3"/>
        <v>4534386484947477</v>
      </c>
      <c r="J29" s="272" t="str">
        <f t="shared" si="4"/>
        <v/>
      </c>
      <c r="K29" s="272">
        <f t="shared" si="5"/>
        <v>4534386484947477</v>
      </c>
      <c r="L29" s="274">
        <f t="shared" si="16"/>
        <v>-1.693070195933215E+18</v>
      </c>
      <c r="M29" s="223" t="str">
        <f t="shared" si="6"/>
        <v/>
      </c>
      <c r="N29" s="223" t="str">
        <f t="shared" si="7"/>
        <v/>
      </c>
      <c r="O29" s="274">
        <f t="shared" si="8"/>
        <v>4534386484947477</v>
      </c>
      <c r="P29" s="272">
        <f t="shared" si="17"/>
        <v>1.2406369302032089E-4</v>
      </c>
      <c r="Q29" s="274" t="str">
        <f t="shared" si="18"/>
        <v/>
      </c>
      <c r="R29" s="275" t="str">
        <f t="shared" si="19"/>
        <v/>
      </c>
      <c r="S29" s="276">
        <f>IF(AND(E29&gt;0.95*BiasLight,E29&lt;1.05*BiasLight),"",IF(AugerModel="Sinton",calclifetimeauger(Auger_Coefficient,I29,P29),calclifetimerichter(SampleType,I29,SampleDoping,P29)))</f>
        <v>8026.2451927149241</v>
      </c>
      <c r="T29" s="278" t="str">
        <f t="shared" si="20"/>
        <v/>
      </c>
      <c r="U29" s="276">
        <f t="shared" si="14"/>
        <v>7846.0286819176999</v>
      </c>
      <c r="V29" s="275" t="str">
        <f>IF(AugerModel="Sinton","",IF(SampleType="n-type",n_intr_boltzmann(SampleDoping,0,K29,298.15),n_intr_boltzmann(0,SampleDoping,K29,298.15)))</f>
        <v/>
      </c>
      <c r="W29" s="275" t="str">
        <f t="shared" si="15"/>
        <v/>
      </c>
      <c r="X29" s="270">
        <f>IF(AND(A29&gt;TimeofMaxCD,I29&gt;Traps),IF(AugerModel="Sinton",CalcImpliedV(SampleDoping,O29),CalcImpliedVRichter(O29,SampleDoping,V29)),"")</f>
        <v>0.67756099161676997</v>
      </c>
      <c r="Y29" s="277">
        <f t="shared" si="9"/>
        <v>15.408229714495468</v>
      </c>
      <c r="Z29" s="279">
        <f t="shared" si="10"/>
        <v>-0.34168590444785163</v>
      </c>
      <c r="AA29" s="279">
        <f t="shared" si="11"/>
        <v>-0.5042880400073414</v>
      </c>
      <c r="AB29" s="226" t="str">
        <f t="shared" si="12"/>
        <v/>
      </c>
    </row>
    <row r="30" spans="1:28">
      <c r="A30" s="268">
        <v>2.1499000000000002E-3</v>
      </c>
      <c r="B30" s="268">
        <v>2.9232800000000001</v>
      </c>
      <c r="C30" s="269">
        <v>0.115971</v>
      </c>
      <c r="D30" s="270">
        <f>IF(CouplingMode="AC",B30-(A$11-A$10)*SUM(B$9:B30)/0.21,B30)</f>
        <v>2.9232800000000001</v>
      </c>
      <c r="E30" s="271">
        <f t="shared" si="13"/>
        <v>13.788591538319755</v>
      </c>
      <c r="F30" s="271">
        <f t="shared" si="0"/>
        <v>13.788591538319755</v>
      </c>
      <c r="G30" s="272">
        <f t="shared" si="1"/>
        <v>2.2894914788970381E+18</v>
      </c>
      <c r="H30" s="273">
        <f t="shared" si="2"/>
        <v>8.2679730054999304E-2</v>
      </c>
      <c r="I30" s="272">
        <f t="shared" si="3"/>
        <v>4369637826078056</v>
      </c>
      <c r="J30" s="272" t="str">
        <f t="shared" si="4"/>
        <v/>
      </c>
      <c r="K30" s="272">
        <f t="shared" si="5"/>
        <v>4369637826078056</v>
      </c>
      <c r="L30" s="274">
        <f t="shared" si="16"/>
        <v>-1.6180247823322767E+18</v>
      </c>
      <c r="M30" s="223" t="str">
        <f t="shared" si="6"/>
        <v/>
      </c>
      <c r="N30" s="223" t="str">
        <f t="shared" si="7"/>
        <v/>
      </c>
      <c r="O30" s="274">
        <f t="shared" si="8"/>
        <v>4369637826078056</v>
      </c>
      <c r="P30" s="272">
        <f t="shared" si="17"/>
        <v>1.2730173289811223E-4</v>
      </c>
      <c r="Q30" s="274" t="str">
        <f t="shared" si="18"/>
        <v/>
      </c>
      <c r="R30" s="275" t="str">
        <f t="shared" si="19"/>
        <v/>
      </c>
      <c r="S30" s="276">
        <f>IF(AND(E30&gt;0.95*BiasLight,E30&lt;1.05*BiasLight),"",IF(AugerModel="Sinton",calclifetimeauger(Auger_Coefficient,I30,P30),calclifetimerichter(SampleType,I30,SampleDoping,P30)))</f>
        <v>7823.6570120847082</v>
      </c>
      <c r="T30" s="278" t="str">
        <f t="shared" si="20"/>
        <v/>
      </c>
      <c r="U30" s="276">
        <f t="shared" si="14"/>
        <v>7608.3244246364175</v>
      </c>
      <c r="V30" s="275" t="str">
        <f>IF(AugerModel="Sinton","",IF(SampleType="n-type",n_intr_boltzmann(SampleDoping,0,K30,298.15),n_intr_boltzmann(0,SampleDoping,K30,298.15)))</f>
        <v/>
      </c>
      <c r="W30" s="275" t="str">
        <f t="shared" si="15"/>
        <v/>
      </c>
      <c r="X30" s="270">
        <f>IF(AND(A30&gt;TimeofMaxCD,I30&gt;Traps),IF(AugerModel="Sinton",CalcImpliedV(SampleDoping,O30),CalcImpliedVRichter(O30,SampleDoping,V30)),"")</f>
        <v>0.67568255288614687</v>
      </c>
      <c r="Y30" s="277">
        <f t="shared" si="9"/>
        <v>14.470716722871414</v>
      </c>
      <c r="Z30" s="279">
        <f t="shared" si="10"/>
        <v>-0.31856748925805539</v>
      </c>
      <c r="AA30" s="279">
        <f t="shared" si="11"/>
        <v>-0.47147508530049953</v>
      </c>
      <c r="AB30" s="226" t="str">
        <f t="shared" si="12"/>
        <v/>
      </c>
    </row>
    <row r="31" spans="1:28">
      <c r="A31" s="268">
        <v>2.2499E-3</v>
      </c>
      <c r="B31" s="268">
        <v>2.8243299999999998</v>
      </c>
      <c r="C31" s="269">
        <v>0.108338</v>
      </c>
      <c r="D31" s="270">
        <f>IF(CouplingMode="AC",B31-(A$11-A$10)*SUM(B$9:B31)/0.21,B31)</f>
        <v>2.8243299999999998</v>
      </c>
      <c r="E31" s="271">
        <f t="shared" si="13"/>
        <v>12.881051556669217</v>
      </c>
      <c r="F31" s="271">
        <f t="shared" si="0"/>
        <v>12.881051556669217</v>
      </c>
      <c r="G31" s="272">
        <f t="shared" si="1"/>
        <v>2.1388013196466988E+18</v>
      </c>
      <c r="H31" s="273">
        <f t="shared" si="2"/>
        <v>7.9825609015886992E-2</v>
      </c>
      <c r="I31" s="272">
        <f t="shared" si="3"/>
        <v>4211130389768981</v>
      </c>
      <c r="J31" s="272" t="str">
        <f t="shared" si="4"/>
        <v/>
      </c>
      <c r="K31" s="272">
        <f t="shared" si="5"/>
        <v>4211130389768981</v>
      </c>
      <c r="L31" s="274">
        <f t="shared" si="16"/>
        <v>-1.5486143733964001E+18</v>
      </c>
      <c r="M31" s="223" t="str">
        <f t="shared" si="6"/>
        <v/>
      </c>
      <c r="N31" s="223" t="str">
        <f t="shared" si="7"/>
        <v/>
      </c>
      <c r="O31" s="274">
        <f t="shared" si="8"/>
        <v>4211130389768981</v>
      </c>
      <c r="P31" s="272">
        <f t="shared" si="17"/>
        <v>1.3117593442729252E-4</v>
      </c>
      <c r="Q31" s="274" t="str">
        <f t="shared" si="18"/>
        <v/>
      </c>
      <c r="R31" s="275" t="str">
        <f t="shared" si="19"/>
        <v/>
      </c>
      <c r="S31" s="276">
        <f>IF(AND(E31&gt;0.95*BiasLight,E31&lt;1.05*BiasLight),"",IF(AugerModel="Sinton",calclifetimeauger(Auger_Coefficient,I31,P31),calclifetimerichter(SampleType,I31,SampleDoping,P31)))</f>
        <v>7593.911736956773</v>
      </c>
      <c r="T31" s="278" t="str">
        <f t="shared" si="20"/>
        <v/>
      </c>
      <c r="U31" s="276">
        <f t="shared" si="14"/>
        <v>7379.6251886003156</v>
      </c>
      <c r="V31" s="275" t="str">
        <f>IF(AugerModel="Sinton","",IF(SampleType="n-type",n_intr_boltzmann(SampleDoping,0,K31,298.15),n_intr_boltzmann(0,SampleDoping,K31,298.15)))</f>
        <v/>
      </c>
      <c r="W31" s="275" t="str">
        <f t="shared" si="15"/>
        <v/>
      </c>
      <c r="X31" s="270">
        <f>IF(AND(A31&gt;TimeofMaxCD,I31&gt;Traps),IF(AugerModel="Sinton",CalcImpliedV(SampleDoping,O31),CalcImpliedVRichter(O31,SampleDoping,V31)),"")</f>
        <v>0.67380803979692983</v>
      </c>
      <c r="Y31" s="277">
        <f t="shared" si="9"/>
        <v>13.533914774085279</v>
      </c>
      <c r="Z31" s="279">
        <f t="shared" si="10"/>
        <v>-0.29559083907178635</v>
      </c>
      <c r="AA31" s="279">
        <f t="shared" si="11"/>
        <v>-0.4386870170929848</v>
      </c>
      <c r="AB31" s="226" t="str">
        <f t="shared" si="12"/>
        <v/>
      </c>
    </row>
    <row r="32" spans="1:28">
      <c r="A32" s="268">
        <v>2.3498999999999998E-3</v>
      </c>
      <c r="B32" s="268">
        <v>2.7293599999999998</v>
      </c>
      <c r="C32" s="269">
        <v>0.101144</v>
      </c>
      <c r="D32" s="270">
        <f>IF(CouplingMode="AC",B32-(A$11-A$10)*SUM(B$9:B32)/0.21,B32)</f>
        <v>2.7293599999999998</v>
      </c>
      <c r="E32" s="271">
        <f t="shared" si="13"/>
        <v>12.025707310895079</v>
      </c>
      <c r="F32" s="271">
        <f t="shared" si="0"/>
        <v>12.025707310895079</v>
      </c>
      <c r="G32" s="272">
        <f t="shared" si="1"/>
        <v>1.9967778681011802E+18</v>
      </c>
      <c r="H32" s="273">
        <f t="shared" si="2"/>
        <v>7.7089944630074375E-2</v>
      </c>
      <c r="I32" s="272">
        <f t="shared" si="3"/>
        <v>4059693690977409</v>
      </c>
      <c r="J32" s="272" t="str">
        <f t="shared" si="4"/>
        <v/>
      </c>
      <c r="K32" s="272">
        <f t="shared" si="5"/>
        <v>4059693690977409</v>
      </c>
      <c r="L32" s="274">
        <f t="shared" si="16"/>
        <v>-1.4805716692858903E+18</v>
      </c>
      <c r="M32" s="223" t="str">
        <f t="shared" si="6"/>
        <v/>
      </c>
      <c r="N32" s="223" t="str">
        <f t="shared" si="7"/>
        <v/>
      </c>
      <c r="O32" s="274">
        <f t="shared" si="8"/>
        <v>4059693690977409</v>
      </c>
      <c r="P32" s="272">
        <f t="shared" si="17"/>
        <v>1.3529620005831467E-4</v>
      </c>
      <c r="Q32" s="274" t="str">
        <f t="shared" si="18"/>
        <v/>
      </c>
      <c r="R32" s="275" t="str">
        <f t="shared" si="19"/>
        <v/>
      </c>
      <c r="S32" s="276">
        <f>IF(AND(E32&gt;0.95*BiasLight,E32&lt;1.05*BiasLight),"",IF(AugerModel="Sinton",calclifetimeauger(Auger_Coefficient,I32,P32),calclifetimerichter(SampleType,I32,SampleDoping,P32)))</f>
        <v>7363.8319372213728</v>
      </c>
      <c r="T32" s="278" t="str">
        <f t="shared" si="20"/>
        <v/>
      </c>
      <c r="U32" s="276">
        <f t="shared" si="14"/>
        <v>7161.1278226222948</v>
      </c>
      <c r="V32" s="275" t="str">
        <f>IF(AugerModel="Sinton","",IF(SampleType="n-type",n_intr_boltzmann(SampleDoping,0,K32,298.15),n_intr_boltzmann(0,SampleDoping,K32,298.15)))</f>
        <v/>
      </c>
      <c r="W32" s="275" t="str">
        <f t="shared" si="15"/>
        <v/>
      </c>
      <c r="X32" s="270">
        <f>IF(AND(A32&gt;TimeofMaxCD,I32&gt;Traps),IF(AugerModel="Sinton",CalcImpliedV(SampleDoping,O32),CalcImpliedVRichter(O32,SampleDoping,V32)),"")</f>
        <v>0.67195090190407991</v>
      </c>
      <c r="Y32" s="277">
        <f t="shared" si="9"/>
        <v>12.649885156736129</v>
      </c>
      <c r="Z32" s="279">
        <f t="shared" si="10"/>
        <v>-0.27398527933517286</v>
      </c>
      <c r="AA32" s="279">
        <f t="shared" si="11"/>
        <v>-0.40774598048576455</v>
      </c>
      <c r="AB32" s="226" t="str">
        <f t="shared" si="12"/>
        <v/>
      </c>
    </row>
    <row r="33" spans="1:28">
      <c r="A33" s="268">
        <v>2.4499000000000001E-3</v>
      </c>
      <c r="B33" s="268">
        <v>2.6382500000000002</v>
      </c>
      <c r="C33" s="269">
        <v>9.5122200000000004E-2</v>
      </c>
      <c r="D33" s="270">
        <f>IF(CouplingMode="AC",B33-(A$11-A$10)*SUM(B$9:B33)/0.21,B33)</f>
        <v>2.6382500000000002</v>
      </c>
      <c r="E33" s="271">
        <f t="shared" si="13"/>
        <v>11.309734002693427</v>
      </c>
      <c r="F33" s="271">
        <f t="shared" si="0"/>
        <v>11.309734002693427</v>
      </c>
      <c r="G33" s="272">
        <f t="shared" si="1"/>
        <v>1.8778959080627036E+18</v>
      </c>
      <c r="H33" s="273">
        <f t="shared" si="2"/>
        <v>7.4468836466691501E-2</v>
      </c>
      <c r="I33" s="272">
        <f t="shared" si="3"/>
        <v>3915051365799600.5</v>
      </c>
      <c r="J33" s="272" t="str">
        <f t="shared" si="4"/>
        <v/>
      </c>
      <c r="K33" s="272">
        <f t="shared" si="5"/>
        <v>3915051365799600.5</v>
      </c>
      <c r="L33" s="274">
        <f t="shared" si="16"/>
        <v>-1.4139968310492009E+18</v>
      </c>
      <c r="M33" s="223" t="str">
        <f t="shared" si="6"/>
        <v/>
      </c>
      <c r="N33" s="223" t="str">
        <f t="shared" si="7"/>
        <v/>
      </c>
      <c r="O33" s="274">
        <f t="shared" si="8"/>
        <v>3915051365799600.5</v>
      </c>
      <c r="P33" s="272">
        <f t="shared" si="17"/>
        <v>1.3862965562986594E-4</v>
      </c>
      <c r="Q33" s="274" t="str">
        <f t="shared" si="18"/>
        <v/>
      </c>
      <c r="R33" s="275" t="str">
        <f t="shared" si="19"/>
        <v/>
      </c>
      <c r="S33" s="276">
        <f>IF(AND(E33&gt;0.95*BiasLight,E33&lt;1.05*BiasLight),"",IF(AugerModel="Sinton",calclifetimeauger(Auger_Coefficient,I33,P33),calclifetimerichter(SampleType,I33,SampleDoping,P33)))</f>
        <v>7188.0199208736421</v>
      </c>
      <c r="T33" s="278" t="str">
        <f t="shared" si="20"/>
        <v/>
      </c>
      <c r="U33" s="276">
        <f t="shared" si="14"/>
        <v>6952.4335806553263</v>
      </c>
      <c r="V33" s="275" t="str">
        <f>IF(AugerModel="Sinton","",IF(SampleType="n-type",n_intr_boltzmann(SampleDoping,0,K33,298.15),n_intr_boltzmann(0,SampleDoping,K33,298.15)))</f>
        <v/>
      </c>
      <c r="W33" s="275" t="str">
        <f t="shared" si="15"/>
        <v/>
      </c>
      <c r="X33" s="270">
        <f>IF(AND(A33&gt;TimeofMaxCD,I33&gt;Traps),IF(AugerModel="Sinton",CalcImpliedV(SampleDoping,O33),CalcImpliedVRichter(O33,SampleDoping,V33)),"")</f>
        <v>0.67011211329508569</v>
      </c>
      <c r="Y33" s="277">
        <f t="shared" si="9"/>
        <v>11.905845298309432</v>
      </c>
      <c r="Z33" s="279">
        <f t="shared" si="10"/>
        <v>-0.25578486640417925</v>
      </c>
      <c r="AA33" s="279">
        <f t="shared" si="11"/>
        <v>-0.38170458544083014</v>
      </c>
      <c r="AB33" s="226" t="str">
        <f t="shared" si="12"/>
        <v/>
      </c>
    </row>
    <row r="34" spans="1:28">
      <c r="A34" s="268">
        <v>2.5498999999999999E-3</v>
      </c>
      <c r="B34" s="268">
        <v>2.5511699999999999</v>
      </c>
      <c r="C34" s="269">
        <v>8.8832599999999998E-2</v>
      </c>
      <c r="D34" s="270">
        <f>IF(CouplingMode="AC",B34-(A$11-A$10)*SUM(B$9:B34)/0.21,B34)</f>
        <v>2.5511699999999999</v>
      </c>
      <c r="E34" s="271">
        <f t="shared" si="13"/>
        <v>10.56192010663824</v>
      </c>
      <c r="F34" s="271">
        <f t="shared" si="0"/>
        <v>10.56192010663824</v>
      </c>
      <c r="G34" s="272">
        <f t="shared" si="1"/>
        <v>1.7537270589049761E+18</v>
      </c>
      <c r="H34" s="273">
        <f t="shared" si="2"/>
        <v>7.1966747194553024E-2</v>
      </c>
      <c r="I34" s="272">
        <f t="shared" si="3"/>
        <v>3777391503419801.5</v>
      </c>
      <c r="J34" s="272" t="str">
        <f t="shared" si="4"/>
        <v/>
      </c>
      <c r="K34" s="272">
        <f t="shared" si="5"/>
        <v>3777391503419801.5</v>
      </c>
      <c r="L34" s="274">
        <f t="shared" si="16"/>
        <v>-1.3528260681681551E+18</v>
      </c>
      <c r="M34" s="223" t="str">
        <f t="shared" si="6"/>
        <v/>
      </c>
      <c r="N34" s="223" t="str">
        <f t="shared" si="7"/>
        <v/>
      </c>
      <c r="O34" s="274">
        <f t="shared" si="8"/>
        <v>3777391503419801.5</v>
      </c>
      <c r="P34" s="272">
        <f t="shared" si="17"/>
        <v>1.4305012206578124E-4</v>
      </c>
      <c r="Q34" s="274" t="str">
        <f t="shared" si="18"/>
        <v/>
      </c>
      <c r="R34" s="275" t="str">
        <f t="shared" si="19"/>
        <v/>
      </c>
      <c r="S34" s="276">
        <f>IF(AND(E34&gt;0.95*BiasLight,E34&lt;1.05*BiasLight),"",IF(AugerModel="Sinton",calclifetimeauger(Auger_Coefficient,I34,P34),calclifetimerichter(SampleType,I34,SampleDoping,P34)))</f>
        <v>6966.8707554926832</v>
      </c>
      <c r="T34" s="278" t="str">
        <f t="shared" si="20"/>
        <v/>
      </c>
      <c r="U34" s="276">
        <f t="shared" si="14"/>
        <v>6753.8138433598051</v>
      </c>
      <c r="V34" s="275" t="str">
        <f>IF(AugerModel="Sinton","",IF(SampleType="n-type",n_intr_boltzmann(SampleDoping,0,K34,298.15),n_intr_boltzmann(0,SampleDoping,K34,298.15)))</f>
        <v/>
      </c>
      <c r="W34" s="275" t="str">
        <f t="shared" si="15"/>
        <v/>
      </c>
      <c r="X34" s="270">
        <f>IF(AND(A34&gt;TimeofMaxCD,I34&gt;Traps),IF(AugerModel="Sinton",CalcImpliedV(SampleDoping,O34),CalcImpliedVRichter(O34,SampleDoping,V34)),"")</f>
        <v>0.66829875997027111</v>
      </c>
      <c r="Y34" s="277">
        <f t="shared" si="9"/>
        <v>11.132243096429129</v>
      </c>
      <c r="Z34" s="279">
        <f t="shared" si="10"/>
        <v>-0.23699779239713245</v>
      </c>
      <c r="AA34" s="279">
        <f t="shared" si="11"/>
        <v>-0.35462850837501952</v>
      </c>
      <c r="AB34" s="226" t="str">
        <f t="shared" si="12"/>
        <v/>
      </c>
    </row>
    <row r="35" spans="1:28">
      <c r="A35" s="268">
        <v>2.6499000000000002E-3</v>
      </c>
      <c r="B35" s="268">
        <v>2.46726</v>
      </c>
      <c r="C35" s="269">
        <v>8.3323400000000006E-2</v>
      </c>
      <c r="D35" s="270">
        <f>IF(CouplingMode="AC",B35-(A$11-A$10)*SUM(B$9:B35)/0.21,B35)</f>
        <v>2.46726</v>
      </c>
      <c r="E35" s="271">
        <f t="shared" si="13"/>
        <v>9.9068933456125432</v>
      </c>
      <c r="F35" s="271">
        <f t="shared" si="0"/>
        <v>9.9068933456125432</v>
      </c>
      <c r="G35" s="272">
        <f t="shared" si="1"/>
        <v>1.6449648126922196E+18</v>
      </c>
      <c r="H35" s="273">
        <f t="shared" si="2"/>
        <v>6.9558591487573027E-2</v>
      </c>
      <c r="I35" s="272">
        <f t="shared" si="3"/>
        <v>3645283068023184</v>
      </c>
      <c r="J35" s="272" t="str">
        <f t="shared" si="4"/>
        <v/>
      </c>
      <c r="K35" s="272">
        <f t="shared" si="5"/>
        <v>3645283068023184</v>
      </c>
      <c r="L35" s="274">
        <f t="shared" si="16"/>
        <v>-1.2953025122784957E+18</v>
      </c>
      <c r="M35" s="223" t="str">
        <f t="shared" si="6"/>
        <v/>
      </c>
      <c r="N35" s="223" t="str">
        <f t="shared" si="7"/>
        <v/>
      </c>
      <c r="O35" s="274">
        <f t="shared" si="8"/>
        <v>3645283068023184</v>
      </c>
      <c r="P35" s="272">
        <f t="shared" si="17"/>
        <v>1.4701804781920143E-4</v>
      </c>
      <c r="Q35" s="274" t="str">
        <f t="shared" si="18"/>
        <v/>
      </c>
      <c r="R35" s="275" t="str">
        <f t="shared" si="19"/>
        <v/>
      </c>
      <c r="S35" s="276">
        <f>IF(AND(E35&gt;0.95*BiasLight,E35&lt;1.05*BiasLight),"",IF(AugerModel="Sinton",calclifetimeauger(Auger_Coefficient,I35,P35),calclifetimerichter(SampleType,I35,SampleDoping,P35)))</f>
        <v>6779.8277646257875</v>
      </c>
      <c r="T35" s="278" t="str">
        <f t="shared" si="20"/>
        <v/>
      </c>
      <c r="U35" s="276">
        <f t="shared" si="14"/>
        <v>6563.2038697670323</v>
      </c>
      <c r="V35" s="275" t="str">
        <f>IF(AugerModel="Sinton","",IF(SampleType="n-type",n_intr_boltzmann(SampleDoping,0,K35,298.15),n_intr_boltzmann(0,SampleDoping,K35,298.15)))</f>
        <v/>
      </c>
      <c r="W35" s="275" t="str">
        <f t="shared" si="15"/>
        <v/>
      </c>
      <c r="X35" s="270">
        <f>IF(AND(A35&gt;TimeofMaxCD,I35&gt;Traps),IF(AugerModel="Sinton",CalcImpliedV(SampleDoping,O35),CalcImpliedVRichter(O35,SampleDoping,V35)),"")</f>
        <v>0.66649619439574359</v>
      </c>
      <c r="Y35" s="277">
        <f t="shared" si="9"/>
        <v>10.452965615262581</v>
      </c>
      <c r="Z35" s="279">
        <f t="shared" si="10"/>
        <v>-0.22051279629142156</v>
      </c>
      <c r="AA35" s="279">
        <f t="shared" si="11"/>
        <v>-0.33085379653419039</v>
      </c>
      <c r="AB35" s="226" t="str">
        <f t="shared" si="12"/>
        <v/>
      </c>
    </row>
    <row r="36" spans="1:28">
      <c r="A36" s="268">
        <v>2.7499E-3</v>
      </c>
      <c r="B36" s="268">
        <v>2.3862000000000001</v>
      </c>
      <c r="C36" s="269">
        <v>7.8243800000000002E-2</v>
      </c>
      <c r="D36" s="270">
        <f>IF(CouplingMode="AC",B36-(A$11-A$10)*SUM(B$9:B36)/0.21,B36)</f>
        <v>2.3862000000000001</v>
      </c>
      <c r="E36" s="271">
        <f t="shared" si="13"/>
        <v>9.3029446896722732</v>
      </c>
      <c r="F36" s="271">
        <f t="shared" si="0"/>
        <v>9.3029446896722732</v>
      </c>
      <c r="G36" s="272">
        <f t="shared" si="1"/>
        <v>1.5446837000329741E+18</v>
      </c>
      <c r="H36" s="273">
        <f t="shared" si="2"/>
        <v>6.7234884259563477E-2</v>
      </c>
      <c r="I36" s="272">
        <f t="shared" si="3"/>
        <v>3518164805781539.5</v>
      </c>
      <c r="J36" s="272" t="str">
        <f t="shared" si="4"/>
        <v/>
      </c>
      <c r="K36" s="272">
        <f t="shared" si="5"/>
        <v>3518164805781539.5</v>
      </c>
      <c r="L36" s="274">
        <f t="shared" si="16"/>
        <v>-1.2405742755883141E+18</v>
      </c>
      <c r="M36" s="223" t="str">
        <f t="shared" si="6"/>
        <v/>
      </c>
      <c r="N36" s="223" t="str">
        <f t="shared" si="7"/>
        <v/>
      </c>
      <c r="O36" s="274">
        <f t="shared" si="8"/>
        <v>3518164805781539.5</v>
      </c>
      <c r="P36" s="272">
        <f t="shared" si="17"/>
        <v>1.5094571186283174E-4</v>
      </c>
      <c r="Q36" s="274" t="str">
        <f t="shared" si="18"/>
        <v/>
      </c>
      <c r="R36" s="275" t="str">
        <f t="shared" si="19"/>
        <v/>
      </c>
      <c r="S36" s="276">
        <f>IF(AND(E36&gt;0.95*BiasLight,E36&lt;1.05*BiasLight),"",IF(AugerModel="Sinton",calclifetimeauger(Auger_Coefficient,I36,P36),calclifetimerichter(SampleType,I36,SampleDoping,P36)))</f>
        <v>6604.351744052502</v>
      </c>
      <c r="T36" s="278" t="str">
        <f t="shared" si="20"/>
        <v/>
      </c>
      <c r="U36" s="276">
        <f t="shared" si="14"/>
        <v>6379.7938661870521</v>
      </c>
      <c r="V36" s="275" t="str">
        <f>IF(AugerModel="Sinton","",IF(SampleType="n-type",n_intr_boltzmann(SampleDoping,0,K36,298.15),n_intr_boltzmann(0,SampleDoping,K36,298.15)))</f>
        <v/>
      </c>
      <c r="W36" s="275" t="str">
        <f t="shared" si="15"/>
        <v/>
      </c>
      <c r="X36" s="270">
        <f>IF(AND(A36&gt;TimeofMaxCD,I36&gt;Traps),IF(AugerModel="Sinton",CalcImpliedV(SampleDoping,O36),CalcImpliedVRichter(O36,SampleDoping,V36)),"")</f>
        <v>0.66469988154137105</v>
      </c>
      <c r="Y36" s="277">
        <f t="shared" si="9"/>
        <v>9.8259446869071354</v>
      </c>
      <c r="Z36" s="279">
        <f t="shared" si="10"/>
        <v>-0.20533115357572532</v>
      </c>
      <c r="AA36" s="279">
        <f t="shared" si="11"/>
        <v>-0.30890806404174975</v>
      </c>
      <c r="AB36" s="226" t="str">
        <f t="shared" si="12"/>
        <v/>
      </c>
    </row>
    <row r="37" spans="1:28">
      <c r="A37" s="268">
        <v>2.8498999999999998E-3</v>
      </c>
      <c r="B37" s="268">
        <v>2.3086500000000001</v>
      </c>
      <c r="C37" s="269">
        <v>7.30846E-2</v>
      </c>
      <c r="D37" s="270">
        <f>IF(CouplingMode="AC",B37-(A$11-A$10)*SUM(B$9:B37)/0.21,B37)</f>
        <v>2.3086500000000001</v>
      </c>
      <c r="E37" s="271">
        <f t="shared" si="13"/>
        <v>8.6895318410765103</v>
      </c>
      <c r="F37" s="271">
        <f t="shared" si="0"/>
        <v>8.6895318410765103</v>
      </c>
      <c r="G37" s="272">
        <f t="shared" si="1"/>
        <v>1.4428311296668861E+18</v>
      </c>
      <c r="H37" s="273">
        <f t="shared" si="2"/>
        <v>6.501423910487493E-2</v>
      </c>
      <c r="I37" s="272">
        <f t="shared" si="3"/>
        <v>3397013458479484</v>
      </c>
      <c r="J37" s="272" t="str">
        <f t="shared" si="4"/>
        <v/>
      </c>
      <c r="K37" s="272">
        <f t="shared" si="5"/>
        <v>3397013458479484</v>
      </c>
      <c r="L37" s="274">
        <f t="shared" si="16"/>
        <v>-1.1880821599865213E+18</v>
      </c>
      <c r="M37" s="223" t="str">
        <f t="shared" si="6"/>
        <v/>
      </c>
      <c r="N37" s="223" t="str">
        <f t="shared" si="7"/>
        <v/>
      </c>
      <c r="O37" s="274">
        <f t="shared" si="8"/>
        <v>3397013458479484</v>
      </c>
      <c r="P37" s="272">
        <f t="shared" si="17"/>
        <v>1.5582662394344281E-4</v>
      </c>
      <c r="Q37" s="274" t="str">
        <f t="shared" si="18"/>
        <v/>
      </c>
      <c r="R37" s="275" t="str">
        <f t="shared" si="19"/>
        <v/>
      </c>
      <c r="S37" s="276">
        <f>IF(AND(E37&gt;0.95*BiasLight,E37&lt;1.05*BiasLight),"",IF(AugerModel="Sinton",calclifetimeauger(Auger_Coefficient,I37,P37),calclifetimerichter(SampleType,I37,SampleDoping,P37)))</f>
        <v>6398.2326968179159</v>
      </c>
      <c r="T37" s="278" t="str">
        <f t="shared" si="20"/>
        <v/>
      </c>
      <c r="U37" s="276">
        <f t="shared" si="14"/>
        <v>6204.9931046713718</v>
      </c>
      <c r="V37" s="275" t="str">
        <f>IF(AugerModel="Sinton","",IF(SampleType="n-type",n_intr_boltzmann(SampleDoping,0,K37,298.15),n_intr_boltzmann(0,SampleDoping,K37,298.15)))</f>
        <v/>
      </c>
      <c r="W37" s="275" t="str">
        <f t="shared" si="15"/>
        <v/>
      </c>
      <c r="X37" s="270">
        <f>IF(AND(A37&gt;TimeofMaxCD,I37&gt;Traps),IF(AugerModel="Sinton",CalcImpliedV(SampleDoping,O37),CalcImpliedVRichter(O37,SampleDoping,V37)),"")</f>
        <v>0.66292736858521273</v>
      </c>
      <c r="Y37" s="277">
        <f t="shared" si="9"/>
        <v>9.1904022674708266</v>
      </c>
      <c r="Z37" s="279">
        <f t="shared" si="10"/>
        <v>-0.19003746379900785</v>
      </c>
      <c r="AA37" s="279">
        <f t="shared" si="11"/>
        <v>-0.28666407936147897</v>
      </c>
      <c r="AB37" s="226" t="str">
        <f t="shared" si="12"/>
        <v/>
      </c>
    </row>
    <row r="38" spans="1:28">
      <c r="A38" s="268">
        <v>2.9499000000000001E-3</v>
      </c>
      <c r="B38" s="268">
        <v>2.23427</v>
      </c>
      <c r="C38" s="269">
        <v>6.9025500000000004E-2</v>
      </c>
      <c r="D38" s="270">
        <f>IF(CouplingMode="AC",B38-(A$11-A$10)*SUM(B$9:B38)/0.21,B38)</f>
        <v>2.23427</v>
      </c>
      <c r="E38" s="271">
        <f t="shared" si="13"/>
        <v>8.2069174640926636</v>
      </c>
      <c r="F38" s="271">
        <f t="shared" si="0"/>
        <v>8.2069174640926636</v>
      </c>
      <c r="G38" s="272">
        <f t="shared" si="1"/>
        <v>1.362696657583426E+18</v>
      </c>
      <c r="H38" s="273">
        <f t="shared" si="2"/>
        <v>6.2886611048427382E-2</v>
      </c>
      <c r="I38" s="272">
        <f t="shared" si="3"/>
        <v>3281239170397494.5</v>
      </c>
      <c r="J38" s="272" t="str">
        <f t="shared" si="4"/>
        <v/>
      </c>
      <c r="K38" s="272">
        <f t="shared" si="5"/>
        <v>3281239170397494.5</v>
      </c>
      <c r="L38" s="274">
        <f t="shared" si="16"/>
        <v>-1.1399162080830973E+18</v>
      </c>
      <c r="M38" s="223" t="str">
        <f t="shared" si="6"/>
        <v/>
      </c>
      <c r="N38" s="223" t="str">
        <f t="shared" si="7"/>
        <v/>
      </c>
      <c r="O38" s="274">
        <f t="shared" si="8"/>
        <v>3281239170397494.5</v>
      </c>
      <c r="P38" s="272">
        <f t="shared" si="17"/>
        <v>1.5922926037233295E-4</v>
      </c>
      <c r="Q38" s="274" t="str">
        <f t="shared" si="18"/>
        <v/>
      </c>
      <c r="R38" s="275" t="str">
        <f t="shared" si="19"/>
        <v/>
      </c>
      <c r="S38" s="276">
        <f>IF(AND(E38&gt;0.95*BiasLight,E38&lt;1.05*BiasLight),"",IF(AugerModel="Sinton",calclifetimeauger(Auger_Coefficient,I38,P38),calclifetimerichter(SampleType,I38,SampleDoping,P38)))</f>
        <v>6262.3803072846267</v>
      </c>
      <c r="T38" s="278" t="str">
        <f t="shared" si="20"/>
        <v/>
      </c>
      <c r="U38" s="276">
        <f t="shared" si="14"/>
        <v>6037.9505238719084</v>
      </c>
      <c r="V38" s="275" t="str">
        <f>IF(AugerModel="Sinton","",IF(SampleType="n-type",n_intr_boltzmann(SampleDoping,0,K38,298.15),n_intr_boltzmann(0,SampleDoping,K38,298.15)))</f>
        <v/>
      </c>
      <c r="W38" s="275" t="str">
        <f t="shared" si="15"/>
        <v/>
      </c>
      <c r="X38" s="270">
        <f>IF(AND(A38&gt;TimeofMaxCD,I38&gt;Traps),IF(AugerModel="Sinton",CalcImpliedV(SampleDoping,O38),CalcImpliedVRichter(O38,SampleDoping,V38)),"")</f>
        <v>0.66117438681038265</v>
      </c>
      <c r="Y38" s="277">
        <f t="shared" si="9"/>
        <v>8.6874821391845387</v>
      </c>
      <c r="Z38" s="279">
        <f t="shared" si="10"/>
        <v>-0.17789682013218874</v>
      </c>
      <c r="AA38" s="279">
        <f t="shared" si="11"/>
        <v>-0.26906187487145888</v>
      </c>
      <c r="AB38" s="226" t="str">
        <f t="shared" si="12"/>
        <v/>
      </c>
    </row>
    <row r="39" spans="1:28">
      <c r="A39" s="268">
        <v>3.0498999999999999E-3</v>
      </c>
      <c r="B39" s="268">
        <v>2.1623600000000001</v>
      </c>
      <c r="C39" s="269">
        <v>6.4700300000000002E-2</v>
      </c>
      <c r="D39" s="270">
        <f>IF(CouplingMode="AC",B39-(A$11-A$10)*SUM(B$9:B39)/0.21,B39)</f>
        <v>2.1623600000000001</v>
      </c>
      <c r="E39" s="271">
        <f t="shared" si="13"/>
        <v>7.6926646239728003</v>
      </c>
      <c r="F39" s="271">
        <f t="shared" si="0"/>
        <v>7.6926646239728003</v>
      </c>
      <c r="G39" s="272">
        <f t="shared" si="1"/>
        <v>1.2773088576633987E+18</v>
      </c>
      <c r="H39" s="273">
        <f t="shared" si="2"/>
        <v>6.0831725997560343E-2</v>
      </c>
      <c r="I39" s="272">
        <f t="shared" si="3"/>
        <v>3169704805721946</v>
      </c>
      <c r="J39" s="272" t="str">
        <f t="shared" si="4"/>
        <v/>
      </c>
      <c r="K39" s="272">
        <f t="shared" si="5"/>
        <v>3169704805721946</v>
      </c>
      <c r="L39" s="274">
        <f t="shared" si="16"/>
        <v>-1.0955036228025843E+18</v>
      </c>
      <c r="M39" s="223" t="str">
        <f t="shared" si="6"/>
        <v/>
      </c>
      <c r="N39" s="223" t="str">
        <f t="shared" si="7"/>
        <v/>
      </c>
      <c r="O39" s="274">
        <f t="shared" si="8"/>
        <v>3169704805721946</v>
      </c>
      <c r="P39" s="272">
        <f t="shared" si="17"/>
        <v>1.6387023736323981E-4</v>
      </c>
      <c r="Q39" s="274" t="str">
        <f t="shared" si="18"/>
        <v/>
      </c>
      <c r="R39" s="275" t="str">
        <f t="shared" si="19"/>
        <v/>
      </c>
      <c r="S39" s="276">
        <f>IF(AND(E39&gt;0.95*BiasLight,E39&lt;1.05*BiasLight),"",IF(AugerModel="Sinton",calclifetimeauger(Auger_Coefficient,I39,P39),calclifetimerichter(SampleType,I39,SampleDoping,P39)))</f>
        <v>6085.7113358876932</v>
      </c>
      <c r="T39" s="278" t="str">
        <f t="shared" si="20"/>
        <v/>
      </c>
      <c r="U39" s="276">
        <f t="shared" si="14"/>
        <v>5877.025430469148</v>
      </c>
      <c r="V39" s="275" t="str">
        <f>IF(AugerModel="Sinton","",IF(SampleType="n-type",n_intr_boltzmann(SampleDoping,0,K39,298.15),n_intr_boltzmann(0,SampleDoping,K39,298.15)))</f>
        <v/>
      </c>
      <c r="W39" s="275" t="str">
        <f t="shared" si="15"/>
        <v/>
      </c>
      <c r="X39" s="270">
        <f>IF(AND(A39&gt;TimeofMaxCD,I39&gt;Traps),IF(AugerModel="Sinton",CalcImpliedV(SampleDoping,O39),CalcImpliedVRichter(O39,SampleDoping,V39)),"")</f>
        <v>0.65942707058872008</v>
      </c>
      <c r="Y39" s="277">
        <f t="shared" si="9"/>
        <v>8.1545058881122046</v>
      </c>
      <c r="Z39" s="279">
        <f t="shared" si="10"/>
        <v>-0.16512562007576531</v>
      </c>
      <c r="AA39" s="279">
        <f t="shared" si="11"/>
        <v>-0.25040770608392721</v>
      </c>
      <c r="AB39" s="226" t="str">
        <f t="shared" si="12"/>
        <v/>
      </c>
    </row>
    <row r="40" spans="1:28">
      <c r="A40" s="268">
        <v>3.1499000000000002E-3</v>
      </c>
      <c r="B40" s="268">
        <v>2.09259</v>
      </c>
      <c r="C40" s="269">
        <v>6.04962E-2</v>
      </c>
      <c r="D40" s="270">
        <f>IF(CouplingMode="AC",B40-(A$11-A$10)*SUM(B$9:B40)/0.21,B40)</f>
        <v>2.09259</v>
      </c>
      <c r="E40" s="271">
        <f t="shared" si="13"/>
        <v>7.1928101975536949</v>
      </c>
      <c r="F40" s="271">
        <f t="shared" si="0"/>
        <v>7.1928101975536949</v>
      </c>
      <c r="G40" s="272">
        <f t="shared" si="1"/>
        <v>1.1943118055863188E+18</v>
      </c>
      <c r="H40" s="273">
        <f t="shared" si="2"/>
        <v>5.8839956144487747E-2</v>
      </c>
      <c r="I40" s="272">
        <f t="shared" si="3"/>
        <v>3061861028118759.5</v>
      </c>
      <c r="J40" s="272" t="str">
        <f t="shared" si="4"/>
        <v/>
      </c>
      <c r="K40" s="272">
        <f t="shared" si="5"/>
        <v>3061861028118759.5</v>
      </c>
      <c r="L40" s="274">
        <f t="shared" si="16"/>
        <v>-1.0524167195710414E+18</v>
      </c>
      <c r="M40" s="223" t="str">
        <f t="shared" si="6"/>
        <v/>
      </c>
      <c r="N40" s="223" t="str">
        <f t="shared" si="7"/>
        <v/>
      </c>
      <c r="O40" s="274">
        <f t="shared" si="8"/>
        <v>3061861028118759.5</v>
      </c>
      <c r="P40" s="272">
        <f t="shared" si="17"/>
        <v>1.6903271897014747E-4</v>
      </c>
      <c r="Q40" s="274" t="str">
        <f t="shared" si="18"/>
        <v/>
      </c>
      <c r="R40" s="275" t="str">
        <f t="shared" si="19"/>
        <v/>
      </c>
      <c r="S40" s="276">
        <f>IF(AND(E40&gt;0.95*BiasLight,E40&lt;1.05*BiasLight),"",IF(AugerModel="Sinton",calclifetimeauger(Auger_Coefficient,I40,P40),calclifetimerichter(SampleType,I40,SampleDoping,P40)))</f>
        <v>5900.4519146604607</v>
      </c>
      <c r="T40" s="278" t="str">
        <f t="shared" si="20"/>
        <v/>
      </c>
      <c r="U40" s="276">
        <f t="shared" si="14"/>
        <v>5721.4252256875643</v>
      </c>
      <c r="V40" s="275" t="str">
        <f>IF(AugerModel="Sinton","",IF(SampleType="n-type",n_intr_boltzmann(SampleDoping,0,K40,298.15),n_intr_boltzmann(0,SampleDoping,K40,298.15)))</f>
        <v/>
      </c>
      <c r="W40" s="275" t="str">
        <f t="shared" si="15"/>
        <v/>
      </c>
      <c r="X40" s="270">
        <f>IF(AND(A40&gt;TimeofMaxCD,I40&gt;Traps),IF(AugerModel="Sinton",CalcImpliedV(SampleDoping,O40),CalcImpliedVRichter(O40,SampleDoping,V40)),"")</f>
        <v>0.65767909892450904</v>
      </c>
      <c r="Y40" s="277">
        <f t="shared" si="9"/>
        <v>7.6364869303833816</v>
      </c>
      <c r="Z40" s="279">
        <f t="shared" si="10"/>
        <v>-0.15276375605395881</v>
      </c>
      <c r="AA40" s="279">
        <f t="shared" si="11"/>
        <v>-0.23227704256341838</v>
      </c>
      <c r="AB40" s="226" t="str">
        <f t="shared" si="12"/>
        <v/>
      </c>
    </row>
    <row r="41" spans="1:28">
      <c r="A41" s="268">
        <v>3.2499E-3</v>
      </c>
      <c r="B41" s="268">
        <v>2.0257900000000002</v>
      </c>
      <c r="C41" s="269">
        <v>5.72755E-2</v>
      </c>
      <c r="D41" s="270">
        <f>IF(CouplingMode="AC",B41-(A$11-A$10)*SUM(B$9:B41)/0.21,B41)</f>
        <v>2.0257900000000002</v>
      </c>
      <c r="E41" s="271">
        <f t="shared" ref="E41:E72" si="21">IF(C41&gt;0,C41/RefCellCal,0.00001)</f>
        <v>6.8098789753734392</v>
      </c>
      <c r="F41" s="271">
        <f t="shared" ref="F41:F72" si="22">E41-BiasLight</f>
        <v>6.8098789753734392</v>
      </c>
      <c r="G41" s="272">
        <f t="shared" ref="G41:G72" si="23">F41*0.038*OptConst/1.602E-19</f>
        <v>1.1307289684452774E+18</v>
      </c>
      <c r="H41" s="273">
        <f t="shared" ref="H41:H72" si="24">CalcConductance(B41,Dark_Voltage,A_cal,B_cal,C_cal)</f>
        <v>5.6934784484175313E-2</v>
      </c>
      <c r="I41" s="272">
        <f t="shared" ref="I41:I72" si="25">CalcDeltaN(H41,SampleDoping,Thickness,AreaFrac)</f>
        <v>2958950718217559</v>
      </c>
      <c r="J41" s="272" t="str">
        <f t="shared" ref="J41:J72" si="26">IF(AND(AND(I41&gt;=FitRangeMin,I41&lt;=FitRangeMax),A41&gt;TimeofMaxCD),I41,"")</f>
        <v/>
      </c>
      <c r="K41" s="272">
        <f t="shared" ref="K41:K72" si="27">IF(I41-BiasPtCD&lt;0,0.00001,I41-BiasPtCD)</f>
        <v>2958950718217559</v>
      </c>
      <c r="L41" s="274">
        <f t="shared" si="16"/>
        <v>-1.0089630878448872E+18</v>
      </c>
      <c r="M41" s="223" t="str">
        <f t="shared" ref="M41:M72" si="28">IF(E41&gt;0.85*BiasLight,IF( E41&lt;1.15*BiasLight,E41,""),"")</f>
        <v/>
      </c>
      <c r="N41" s="223" t="str">
        <f t="shared" ref="N41:N72" si="29">IF(E41&gt;0.85*BiasLight,IF(E41&lt;1.15*BiasLight,I41,""),"")</f>
        <v/>
      </c>
      <c r="O41" s="274">
        <f t="shared" ref="O41:O72" si="30">I41-Traps</f>
        <v>2958950718217559</v>
      </c>
      <c r="P41" s="272">
        <f t="shared" si="17"/>
        <v>1.7241057935123518E-4</v>
      </c>
      <c r="Q41" s="274" t="str">
        <f t="shared" si="18"/>
        <v/>
      </c>
      <c r="R41" s="275" t="str">
        <f t="shared" si="19"/>
        <v/>
      </c>
      <c r="S41" s="276">
        <f>IF(AND(E41&gt;0.95*BiasLight,E41&lt;1.05*BiasLight),"",IF(AugerModel="Sinton",calclifetimeauger(Auger_Coefficient,I41,P41),calclifetimerichter(SampleType,I41,SampleDoping,P41)))</f>
        <v>5785.574166313927</v>
      </c>
      <c r="T41" s="278" t="str">
        <f t="shared" si="20"/>
        <v/>
      </c>
      <c r="U41" s="276">
        <f t="shared" ref="U41:U72" si="31">FitInterceptAuger+FitSlopeAuger*(I41+Traps)</f>
        <v>5572.9431746073169</v>
      </c>
      <c r="V41" s="275" t="str">
        <f>IF(AugerModel="Sinton","",IF(SampleType="n-type",n_intr_boltzmann(SampleDoping,0,K41,298.15),n_intr_boltzmann(0,SampleDoping,K41,298.15)))</f>
        <v/>
      </c>
      <c r="W41" s="275" t="str">
        <f t="shared" si="15"/>
        <v/>
      </c>
      <c r="X41" s="270">
        <f>IF(AND(A41&gt;TimeofMaxCD,I41&gt;Traps),IF(AugerModel="Sinton",CalcImpliedV(SampleDoping,O41),CalcImpliedVRichter(O41,SampleDoping,V41)),"")</f>
        <v>0.65595372688736586</v>
      </c>
      <c r="Y41" s="277">
        <f t="shared" ref="Y41:Y72" si="32">IF(OR(P41="",P41&lt;0,A41&lt;=TimeofMaxCD),"",(O41*Thickness*1.602E-19/(0.038*OptConst*P41)))</f>
        <v>7.2352365718806757</v>
      </c>
      <c r="Z41" s="279">
        <f t="shared" ref="Z41:Z72" si="33">IF(Y41="","",($AC$6*X41*(1-Y41)))</f>
        <v>-0.14315093335723364</v>
      </c>
      <c r="AA41" s="279">
        <f t="shared" ref="AA41:AA72" si="34">IF(Y41="","",$AC$6*(1-Y41))</f>
        <v>-0.21823328001582368</v>
      </c>
      <c r="AB41" s="226" t="str">
        <f t="shared" ref="AB41:AB72" si="35">IF(C41&gt;0.6,O41,"")</f>
        <v/>
      </c>
    </row>
    <row r="42" spans="1:28">
      <c r="A42" s="268">
        <v>3.3498999999999998E-3</v>
      </c>
      <c r="B42" s="268">
        <v>1.9616199999999999</v>
      </c>
      <c r="C42" s="269">
        <v>5.3618800000000001E-2</v>
      </c>
      <c r="D42" s="270">
        <f>IF(CouplingMode="AC",B42-(A$11-A$10)*SUM(B$9:B42)/0.21,B42)</f>
        <v>1.9616199999999999</v>
      </c>
      <c r="E42" s="271">
        <f t="shared" si="21"/>
        <v>6.3751087079947508</v>
      </c>
      <c r="F42" s="271">
        <f t="shared" si="22"/>
        <v>6.3751087079947508</v>
      </c>
      <c r="G42" s="272">
        <f t="shared" si="23"/>
        <v>1.0585386493923867E+18</v>
      </c>
      <c r="H42" s="273">
        <f t="shared" si="24"/>
        <v>5.5106290797891096E-2</v>
      </c>
      <c r="I42" s="272">
        <f t="shared" si="25"/>
        <v>2860407854364167.5</v>
      </c>
      <c r="J42" s="272" t="str">
        <f t="shared" si="26"/>
        <v/>
      </c>
      <c r="K42" s="272">
        <f t="shared" si="27"/>
        <v>2860407854364167.5</v>
      </c>
      <c r="L42" s="274">
        <f t="shared" si="16"/>
        <v>-9.6902165587815296E+17</v>
      </c>
      <c r="M42" s="223" t="str">
        <f t="shared" si="28"/>
        <v/>
      </c>
      <c r="N42" s="223" t="str">
        <f t="shared" si="29"/>
        <v/>
      </c>
      <c r="O42" s="274">
        <f t="shared" si="30"/>
        <v>2860407854364167.5</v>
      </c>
      <c r="P42" s="272">
        <f t="shared" si="17"/>
        <v>1.7776442946842142E-4</v>
      </c>
      <c r="Q42" s="274" t="str">
        <f t="shared" si="18"/>
        <v/>
      </c>
      <c r="R42" s="275" t="str">
        <f t="shared" si="19"/>
        <v/>
      </c>
      <c r="S42" s="276">
        <f>IF(AND(E42&gt;0.95*BiasLight,E42&lt;1.05*BiasLight),"",IF(AugerModel="Sinton",calclifetimeauger(Auger_Coefficient,I42,P42),calclifetimerichter(SampleType,I42,SampleDoping,P42)))</f>
        <v>5611.8403716299599</v>
      </c>
      <c r="T42" s="278" t="str">
        <f t="shared" si="20"/>
        <v/>
      </c>
      <c r="U42" s="276">
        <f t="shared" si="31"/>
        <v>5430.7626043775672</v>
      </c>
      <c r="V42" s="275" t="str">
        <f>IF(AugerModel="Sinton","",IF(SampleType="n-type",n_intr_boltzmann(SampleDoping,0,K42,298.15),n_intr_boltzmann(0,SampleDoping,K42,298.15)))</f>
        <v/>
      </c>
      <c r="W42" s="275" t="str">
        <f t="shared" si="15"/>
        <v/>
      </c>
      <c r="X42" s="270">
        <f>IF(AND(A42&gt;TimeofMaxCD,I42&gt;Traps),IF(AugerModel="Sinton",CalcImpliedV(SampleDoping,O42),CalcImpliedVRichter(O42,SampleDoping,V42)),"")</f>
        <v>0.65424541910145706</v>
      </c>
      <c r="Y42" s="277">
        <f t="shared" si="32"/>
        <v>6.7836278376570665</v>
      </c>
      <c r="Z42" s="279">
        <f t="shared" si="33"/>
        <v>-0.13243692065011806</v>
      </c>
      <c r="AA42" s="279">
        <f t="shared" si="34"/>
        <v>-0.20242697431799733</v>
      </c>
      <c r="AB42" s="226" t="str">
        <f t="shared" si="35"/>
        <v/>
      </c>
    </row>
    <row r="43" spans="1:28">
      <c r="A43" s="268">
        <v>3.4499000000000001E-3</v>
      </c>
      <c r="B43" s="268">
        <v>1.8999200000000001</v>
      </c>
      <c r="C43" s="269">
        <v>5.0447400000000003E-2</v>
      </c>
      <c r="D43" s="270">
        <f>IF(CouplingMode="AC",B43-(A$11-A$10)*SUM(B$9:B43)/0.21,B43)</f>
        <v>1.8999200000000001</v>
      </c>
      <c r="E43" s="271">
        <f t="shared" si="21"/>
        <v>5.9980391026224833</v>
      </c>
      <c r="F43" s="271">
        <f t="shared" si="22"/>
        <v>5.9980391026224833</v>
      </c>
      <c r="G43" s="272">
        <f t="shared" si="23"/>
        <v>9.9592908944917619E+17</v>
      </c>
      <c r="H43" s="273">
        <f t="shared" si="24"/>
        <v>5.3349720829390129E-2</v>
      </c>
      <c r="I43" s="272">
        <f t="shared" si="25"/>
        <v>2765949848676798.5</v>
      </c>
      <c r="J43" s="272" t="str">
        <f t="shared" si="26"/>
        <v/>
      </c>
      <c r="K43" s="272">
        <f t="shared" si="27"/>
        <v>2765949848676798.5</v>
      </c>
      <c r="L43" s="274">
        <f t="shared" ref="L43:L74" si="36">IF(ABS(SLOPE(K41:K45,A41:A45))&lt;1000000000000,-1000000000000,(SLOPE(K41:K45,A41:A45)))</f>
        <v>-9.3019624327110157E+17</v>
      </c>
      <c r="M43" s="223" t="str">
        <f t="shared" si="28"/>
        <v/>
      </c>
      <c r="N43" s="223" t="str">
        <f t="shared" si="29"/>
        <v/>
      </c>
      <c r="O43" s="274">
        <f t="shared" si="30"/>
        <v>2765949848676798.5</v>
      </c>
      <c r="P43" s="272">
        <f t="shared" ref="P43:P74" si="37">calclifetime(AnalysisMode,K43,Thickness,G43,L43)</f>
        <v>1.82477544332526E-4</v>
      </c>
      <c r="Q43" s="274" t="str">
        <f t="shared" si="18"/>
        <v/>
      </c>
      <c r="R43" s="275" t="str">
        <f t="shared" si="19"/>
        <v/>
      </c>
      <c r="S43" s="276">
        <f>IF(AND(E43&gt;0.95*BiasLight,E43&lt;1.05*BiasLight),"",IF(AugerModel="Sinton",calclifetimeauger(Auger_Coefficient,I43,P43),calclifetimerichter(SampleType,I43,SampleDoping,P43)))</f>
        <v>5467.4265611713436</v>
      </c>
      <c r="T43" s="278" t="str">
        <f t="shared" si="20"/>
        <v/>
      </c>
      <c r="U43" s="276">
        <f t="shared" si="31"/>
        <v>5294.4757888109325</v>
      </c>
      <c r="V43" s="275" t="str">
        <f>IF(AugerModel="Sinton","",IF(SampleType="n-type",n_intr_boltzmann(SampleDoping,0,K43,298.15),n_intr_boltzmann(0,SampleDoping,K43,298.15)))</f>
        <v/>
      </c>
      <c r="W43" s="275" t="str">
        <f t="shared" si="15"/>
        <v/>
      </c>
      <c r="X43" s="270">
        <f>IF(AND(A43&gt;TimeofMaxCD,I43&gt;Traps),IF(AugerModel="Sinton",CalcImpliedV(SampleDoping,O43),CalcImpliedVRichter(O43,SampleDoping,V43)),"")</f>
        <v>0.6525528024783771</v>
      </c>
      <c r="Y43" s="277">
        <f t="shared" si="32"/>
        <v>6.3901902557067727</v>
      </c>
      <c r="Z43" s="279">
        <f t="shared" si="33"/>
        <v>-0.12310843150385833</v>
      </c>
      <c r="AA43" s="279">
        <f t="shared" si="34"/>
        <v>-0.18865665894973707</v>
      </c>
      <c r="AB43" s="226" t="str">
        <f t="shared" si="35"/>
        <v/>
      </c>
    </row>
    <row r="44" spans="1:28">
      <c r="A44" s="268">
        <v>3.5498999999999999E-3</v>
      </c>
      <c r="B44" s="268">
        <v>1.83958</v>
      </c>
      <c r="C44" s="269">
        <v>4.7658800000000001E-2</v>
      </c>
      <c r="D44" s="270">
        <f>IF(CouplingMode="AC",B44-(A$11-A$10)*SUM(B$9:B44)/0.21,B44)</f>
        <v>1.83958</v>
      </c>
      <c r="E44" s="271">
        <f t="shared" si="21"/>
        <v>5.666483227759298</v>
      </c>
      <c r="F44" s="271">
        <f t="shared" si="22"/>
        <v>5.666483227759298</v>
      </c>
      <c r="G44" s="272">
        <f t="shared" si="23"/>
        <v>9.4087674068912179E+17</v>
      </c>
      <c r="H44" s="273">
        <f t="shared" si="24"/>
        <v>5.1633331773829526E-2</v>
      </c>
      <c r="I44" s="272">
        <f t="shared" si="25"/>
        <v>2673850634950063.5</v>
      </c>
      <c r="J44" s="272" t="str">
        <f t="shared" si="26"/>
        <v/>
      </c>
      <c r="K44" s="272">
        <f t="shared" si="27"/>
        <v>2673850634950063.5</v>
      </c>
      <c r="L44" s="274">
        <f t="shared" si="36"/>
        <v>-8.9568540117786586E+17</v>
      </c>
      <c r="M44" s="223" t="str">
        <f t="shared" si="28"/>
        <v/>
      </c>
      <c r="N44" s="223" t="str">
        <f t="shared" si="29"/>
        <v/>
      </c>
      <c r="O44" s="274">
        <f t="shared" si="30"/>
        <v>2673850634950063.5</v>
      </c>
      <c r="P44" s="272">
        <f t="shared" si="37"/>
        <v>1.8650284921048005E-4</v>
      </c>
      <c r="Q44" s="274" t="str">
        <f t="shared" ref="Q44:Q75" si="38">IF($J44="","",P44)</f>
        <v/>
      </c>
      <c r="R44" s="275" t="str">
        <f t="shared" ref="R44:R75" si="39">IF(Q44="","",1/Q44)</f>
        <v/>
      </c>
      <c r="S44" s="276">
        <f>IF(AND(E44&gt;0.95*BiasLight,E44&lt;1.05*BiasLight),"",IF(AugerModel="Sinton",calclifetimeauger(Auger_Coefficient,I44,P44),calclifetimerichter(SampleType,I44,SampleDoping,P44)))</f>
        <v>5349.9802483296198</v>
      </c>
      <c r="T44" s="278" t="str">
        <f t="shared" ref="T44:T75" si="40">IF($J44="","",S44)</f>
        <v/>
      </c>
      <c r="U44" s="276">
        <f t="shared" si="31"/>
        <v>5161.5923083301868</v>
      </c>
      <c r="V44" s="275" t="str">
        <f>IF(AugerModel="Sinton","",IF(SampleType="n-type",n_intr_boltzmann(SampleDoping,0,K44,298.15),n_intr_boltzmann(0,SampleDoping,K44,298.15)))</f>
        <v/>
      </c>
      <c r="W44" s="275" t="str">
        <f t="shared" si="15"/>
        <v/>
      </c>
      <c r="X44" s="270">
        <f>IF(AND(A44&gt;TimeofMaxCD,I44&gt;Traps),IF(AugerModel="Sinton",CalcImpliedV(SampleDoping,O44),CalcImpliedVRichter(O44,SampleDoping,V44)),"")</f>
        <v>0.65084694013058375</v>
      </c>
      <c r="Y44" s="277">
        <f t="shared" si="32"/>
        <v>6.0440853363611238</v>
      </c>
      <c r="Z44" s="279">
        <f t="shared" si="33"/>
        <v>-0.11490246274248644</v>
      </c>
      <c r="AA44" s="279">
        <f t="shared" si="34"/>
        <v>-0.17654298677263935</v>
      </c>
      <c r="AB44" s="226" t="str">
        <f t="shared" si="35"/>
        <v/>
      </c>
    </row>
    <row r="45" spans="1:28">
      <c r="A45" s="268">
        <v>3.6499000000000002E-3</v>
      </c>
      <c r="B45" s="268">
        <v>1.7826</v>
      </c>
      <c r="C45" s="269">
        <v>4.4464999999999998E-2</v>
      </c>
      <c r="D45" s="270">
        <f>IF(CouplingMode="AC",B45-(A$11-A$10)*SUM(B$9:B45)/0.21,B45)</f>
        <v>1.7826</v>
      </c>
      <c r="E45" s="271">
        <f t="shared" si="21"/>
        <v>5.2867503319915139</v>
      </c>
      <c r="F45" s="271">
        <f t="shared" si="22"/>
        <v>5.2867503319915139</v>
      </c>
      <c r="G45" s="272">
        <f t="shared" si="23"/>
        <v>8.7782496149172454E+17</v>
      </c>
      <c r="H45" s="273">
        <f t="shared" si="24"/>
        <v>5.0013846421168302E-2</v>
      </c>
      <c r="I45" s="272">
        <f t="shared" si="25"/>
        <v>2587131206289060</v>
      </c>
      <c r="J45" s="272" t="str">
        <f t="shared" si="26"/>
        <v/>
      </c>
      <c r="K45" s="272">
        <f t="shared" si="27"/>
        <v>2587131206289060</v>
      </c>
      <c r="L45" s="274">
        <f t="shared" si="36"/>
        <v>-8.6071878428248333E+17</v>
      </c>
      <c r="M45" s="223" t="str">
        <f t="shared" si="28"/>
        <v/>
      </c>
      <c r="N45" s="223" t="str">
        <f t="shared" si="29"/>
        <v/>
      </c>
      <c r="O45" s="274">
        <f t="shared" si="30"/>
        <v>2587131206289060</v>
      </c>
      <c r="P45" s="272">
        <f t="shared" si="37"/>
        <v>1.930540000338458E-4</v>
      </c>
      <c r="Q45" s="274" t="str">
        <f t="shared" si="38"/>
        <v/>
      </c>
      <c r="R45" s="275" t="str">
        <f t="shared" si="39"/>
        <v/>
      </c>
      <c r="S45" s="276">
        <f>IF(AND(E45&gt;0.95*BiasLight,E45&lt;1.05*BiasLight),"",IF(AugerModel="Sinton",calclifetimeauger(Auger_Coefficient,I45,P45),calclifetimerichter(SampleType,I45,SampleDoping,P45)))</f>
        <v>5168.787060027822</v>
      </c>
      <c r="T45" s="278" t="str">
        <f t="shared" si="40"/>
        <v/>
      </c>
      <c r="U45" s="276">
        <f t="shared" si="31"/>
        <v>5036.4709414967292</v>
      </c>
      <c r="V45" s="275" t="str">
        <f>IF(AugerModel="Sinton","",IF(SampleType="n-type",n_intr_boltzmann(SampleDoping,0,K45,298.15),n_intr_boltzmann(0,SampleDoping,K45,298.15)))</f>
        <v/>
      </c>
      <c r="W45" s="275" t="str">
        <f t="shared" si="15"/>
        <v/>
      </c>
      <c r="X45" s="270">
        <f>IF(AND(A45&gt;TimeofMaxCD,I45&gt;Traps),IF(AugerModel="Sinton",CalcImpliedV(SampleDoping,O45),CalcImpliedVRichter(O45,SampleDoping,V45)),"")</f>
        <v>0.64918721805320789</v>
      </c>
      <c r="Y45" s="277">
        <f t="shared" si="32"/>
        <v>5.6496112510495502</v>
      </c>
      <c r="Z45" s="279">
        <f t="shared" si="33"/>
        <v>-0.10564638675842136</v>
      </c>
      <c r="AA45" s="279">
        <f t="shared" si="34"/>
        <v>-0.16273639378673427</v>
      </c>
      <c r="AB45" s="226" t="str">
        <f t="shared" si="35"/>
        <v/>
      </c>
    </row>
    <row r="46" spans="1:28">
      <c r="A46" s="268">
        <v>3.7499E-3</v>
      </c>
      <c r="B46" s="268">
        <v>1.7264900000000001</v>
      </c>
      <c r="C46" s="269">
        <v>4.23141E-2</v>
      </c>
      <c r="D46" s="270">
        <f>IF(CouplingMode="AC",B46-(A$11-A$10)*SUM(B$9:B46)/0.21,B46)</f>
        <v>1.7264900000000001</v>
      </c>
      <c r="E46" s="271">
        <f t="shared" si="21"/>
        <v>5.0310150055756697</v>
      </c>
      <c r="F46" s="271">
        <f t="shared" si="22"/>
        <v>5.0310150055756697</v>
      </c>
      <c r="G46" s="272">
        <f t="shared" si="23"/>
        <v>8.3536204212429965E+17</v>
      </c>
      <c r="H46" s="273">
        <f t="shared" si="24"/>
        <v>4.8420348317336818E-2</v>
      </c>
      <c r="I46" s="272">
        <f t="shared" si="25"/>
        <v>2501974474969103.5</v>
      </c>
      <c r="J46" s="272" t="str">
        <f t="shared" si="26"/>
        <v/>
      </c>
      <c r="K46" s="272">
        <f t="shared" si="27"/>
        <v>2501974474969103.5</v>
      </c>
      <c r="L46" s="274">
        <f t="shared" si="36"/>
        <v>-8.2634131642145894E+17</v>
      </c>
      <c r="M46" s="223" t="str">
        <f t="shared" si="28"/>
        <v/>
      </c>
      <c r="N46" s="223" t="str">
        <f t="shared" si="29"/>
        <v/>
      </c>
      <c r="O46" s="274">
        <f t="shared" si="30"/>
        <v>2501974474969103.5</v>
      </c>
      <c r="P46" s="272">
        <f t="shared" si="37"/>
        <v>1.9607820159662161E-4</v>
      </c>
      <c r="Q46" s="274" t="str">
        <f t="shared" si="38"/>
        <v/>
      </c>
      <c r="R46" s="275" t="str">
        <f t="shared" si="39"/>
        <v/>
      </c>
      <c r="S46" s="276">
        <f>IF(AND(E46&gt;0.95*BiasLight,E46&lt;1.05*BiasLight),"",IF(AugerModel="Sinton",calclifetimeauger(Auger_Coefficient,I46,P46),calclifetimerichter(SampleType,I46,SampleDoping,P46)))</f>
        <v>5089.6145818650366</v>
      </c>
      <c r="T46" s="278" t="str">
        <f t="shared" si="40"/>
        <v/>
      </c>
      <c r="U46" s="276">
        <f t="shared" si="31"/>
        <v>4913.6042807917347</v>
      </c>
      <c r="V46" s="275" t="str">
        <f>IF(AugerModel="Sinton","",IF(SampleType="n-type",n_intr_boltzmann(SampleDoping,0,K46,298.15),n_intr_boltzmann(0,SampleDoping,K46,298.15)))</f>
        <v/>
      </c>
      <c r="W46" s="275" t="str">
        <f t="shared" si="15"/>
        <v/>
      </c>
      <c r="X46" s="270">
        <f>IF(AND(A46&gt;TimeofMaxCD,I46&gt;Traps),IF(AugerModel="Sinton",CalcImpliedV(SampleDoping,O46),CalcImpliedVRichter(O46,SampleDoping,V46)),"")</f>
        <v>0.64750348174611971</v>
      </c>
      <c r="Y46" s="277">
        <f t="shared" si="32"/>
        <v>5.3793831079196641</v>
      </c>
      <c r="Z46" s="279">
        <f t="shared" si="33"/>
        <v>-9.9248303359734391E-2</v>
      </c>
      <c r="AA46" s="279">
        <f t="shared" si="34"/>
        <v>-0.15327840877718826</v>
      </c>
      <c r="AB46" s="226" t="str">
        <f t="shared" si="35"/>
        <v/>
      </c>
    </row>
    <row r="47" spans="1:28">
      <c r="A47" s="268">
        <v>3.8498999999999999E-3</v>
      </c>
      <c r="B47" s="268">
        <v>1.67334</v>
      </c>
      <c r="C47" s="269">
        <v>3.9700300000000001E-2</v>
      </c>
      <c r="D47" s="270">
        <f>IF(CouplingMode="AC",B47-(A$11-A$10)*SUM(B$9:B47)/0.21,B47)</f>
        <v>1.67334</v>
      </c>
      <c r="E47" s="271">
        <f t="shared" si="21"/>
        <v>4.7202423075489195</v>
      </c>
      <c r="F47" s="271">
        <f t="shared" si="22"/>
        <v>4.7202423075489195</v>
      </c>
      <c r="G47" s="272">
        <f t="shared" si="23"/>
        <v>7.8376058290138099E+17</v>
      </c>
      <c r="H47" s="273">
        <f t="shared" si="24"/>
        <v>4.6912066059351935E-2</v>
      </c>
      <c r="I47" s="272">
        <f t="shared" si="25"/>
        <v>2421528536526037</v>
      </c>
      <c r="J47" s="272" t="str">
        <f t="shared" si="26"/>
        <v/>
      </c>
      <c r="K47" s="272">
        <f t="shared" si="27"/>
        <v>2421528536526037</v>
      </c>
      <c r="L47" s="274">
        <f t="shared" si="36"/>
        <v>-7.984470081993975E+17</v>
      </c>
      <c r="M47" s="223" t="str">
        <f t="shared" si="28"/>
        <v/>
      </c>
      <c r="N47" s="223" t="str">
        <f t="shared" si="29"/>
        <v/>
      </c>
      <c r="O47" s="274">
        <f t="shared" si="30"/>
        <v>2421528536526037</v>
      </c>
      <c r="P47" s="272">
        <f t="shared" si="37"/>
        <v>2.0187771016960771E-4</v>
      </c>
      <c r="Q47" s="274" t="str">
        <f t="shared" si="38"/>
        <v/>
      </c>
      <c r="R47" s="275" t="str">
        <f t="shared" si="39"/>
        <v/>
      </c>
      <c r="S47" s="276">
        <f>IF(AND(E47&gt;0.95*BiasLight,E47&lt;1.05*BiasLight),"",IF(AugerModel="Sinton",calclifetimeauger(Auger_Coefficient,I47,P47),calclifetimerichter(SampleType,I47,SampleDoping,P47)))</f>
        <v>4943.7599621651152</v>
      </c>
      <c r="T47" s="278" t="str">
        <f t="shared" si="40"/>
        <v/>
      </c>
      <c r="U47" s="276">
        <f t="shared" si="31"/>
        <v>4797.5344919380295</v>
      </c>
      <c r="V47" s="275" t="str">
        <f>IF(AugerModel="Sinton","",IF(SampleType="n-type",n_intr_boltzmann(SampleDoping,0,K47,298.15),n_intr_boltzmann(0,SampleDoping,K47,298.15)))</f>
        <v/>
      </c>
      <c r="W47" s="275" t="str">
        <f t="shared" si="15"/>
        <v/>
      </c>
      <c r="X47" s="270">
        <f>IF(AND(A47&gt;TimeofMaxCD,I47&gt;Traps),IF(AugerModel="Sinton",CalcImpliedV(SampleDoping,O47),CalcImpliedVRichter(O47,SampleDoping,V47)),"")</f>
        <v>0.64586052413117823</v>
      </c>
      <c r="Y47" s="277">
        <f t="shared" si="32"/>
        <v>5.056850756795086</v>
      </c>
      <c r="Z47" s="279">
        <f t="shared" si="33"/>
        <v>-9.1705591463697458E-2</v>
      </c>
      <c r="AA47" s="279">
        <f t="shared" si="34"/>
        <v>-0.14198977648782801</v>
      </c>
      <c r="AB47" s="226" t="str">
        <f t="shared" si="35"/>
        <v/>
      </c>
    </row>
    <row r="48" spans="1:28">
      <c r="A48" s="268">
        <v>3.9499000000000001E-3</v>
      </c>
      <c r="B48" s="268">
        <v>1.62164</v>
      </c>
      <c r="C48" s="269">
        <v>3.7157799999999998E-2</v>
      </c>
      <c r="D48" s="270">
        <f>IF(CouplingMode="AC",B48-(A$11-A$10)*SUM(B$9:B48)/0.21,B48)</f>
        <v>1.62164</v>
      </c>
      <c r="E48" s="271">
        <f t="shared" si="21"/>
        <v>4.4179469579686108</v>
      </c>
      <c r="F48" s="271">
        <f t="shared" si="22"/>
        <v>4.4179469579686108</v>
      </c>
      <c r="G48" s="272">
        <f t="shared" si="23"/>
        <v>7.3356672335808397E+17</v>
      </c>
      <c r="H48" s="273">
        <f t="shared" si="24"/>
        <v>4.5446008145321119E-2</v>
      </c>
      <c r="I48" s="272">
        <f t="shared" si="25"/>
        <v>2343481311620845.5</v>
      </c>
      <c r="J48" s="272" t="str">
        <f t="shared" si="26"/>
        <v/>
      </c>
      <c r="K48" s="272">
        <f t="shared" si="27"/>
        <v>2343481311620845.5</v>
      </c>
      <c r="L48" s="274">
        <f t="shared" si="36"/>
        <v>-7.68720689870112E+17</v>
      </c>
      <c r="M48" s="223" t="str">
        <f t="shared" si="28"/>
        <v/>
      </c>
      <c r="N48" s="223" t="str">
        <f t="shared" si="29"/>
        <v/>
      </c>
      <c r="O48" s="274">
        <f t="shared" si="30"/>
        <v>2343481311620845.5</v>
      </c>
      <c r="P48" s="272">
        <f t="shared" si="37"/>
        <v>2.0834194553787357E-4</v>
      </c>
      <c r="Q48" s="274" t="str">
        <f t="shared" si="38"/>
        <v/>
      </c>
      <c r="R48" s="275" t="str">
        <f t="shared" si="39"/>
        <v/>
      </c>
      <c r="S48" s="276">
        <f>IF(AND(E48&gt;0.95*BiasLight,E48&lt;1.05*BiasLight),"",IF(AugerModel="Sinton",calclifetimeauger(Auger_Coefficient,I48,P48),calclifetimerichter(SampleType,I48,SampleDoping,P48)))</f>
        <v>4790.6850212775289</v>
      </c>
      <c r="T48" s="278" t="str">
        <f t="shared" si="40"/>
        <v/>
      </c>
      <c r="U48" s="276">
        <f t="shared" si="31"/>
        <v>4684.9256382073409</v>
      </c>
      <c r="V48" s="275" t="str">
        <f>IF(AugerModel="Sinton","",IF(SampleType="n-type",n_intr_boltzmann(SampleDoping,0,K48,298.15),n_intr_boltzmann(0,SampleDoping,K48,298.15)))</f>
        <v/>
      </c>
      <c r="W48" s="275" t="str">
        <f t="shared" si="15"/>
        <v/>
      </c>
      <c r="X48" s="270">
        <f>IF(AND(A48&gt;TimeofMaxCD,I48&gt;Traps),IF(AugerModel="Sinton",CalcImpliedV(SampleDoping,O48),CalcImpliedVRichter(O48,SampleDoping,V48)),"")</f>
        <v>0.64421469015277499</v>
      </c>
      <c r="Y48" s="277">
        <f t="shared" si="32"/>
        <v>4.7420234172243791</v>
      </c>
      <c r="Z48" s="279">
        <f t="shared" si="33"/>
        <v>-8.4373325969507112E-2</v>
      </c>
      <c r="AA48" s="279">
        <f t="shared" si="34"/>
        <v>-0.13097081960285328</v>
      </c>
      <c r="AB48" s="226" t="str">
        <f t="shared" si="35"/>
        <v/>
      </c>
    </row>
    <row r="49" spans="1:28">
      <c r="A49" s="268">
        <v>4.0499000000000004E-3</v>
      </c>
      <c r="B49" s="268">
        <v>1.5709500000000001</v>
      </c>
      <c r="C49" s="269">
        <v>3.5369699999999997E-2</v>
      </c>
      <c r="D49" s="270">
        <f>IF(CouplingMode="AC",B49-(A$11-A$10)*SUM(B$9:B49)/0.21,B49)</f>
        <v>1.5709500000000001</v>
      </c>
      <c r="E49" s="271">
        <f t="shared" si="21"/>
        <v>4.2053474242087088</v>
      </c>
      <c r="F49" s="271">
        <f t="shared" si="22"/>
        <v>4.2053474242087088</v>
      </c>
      <c r="G49" s="272">
        <f t="shared" si="23"/>
        <v>6.9826617655400525E+17</v>
      </c>
      <c r="H49" s="273">
        <f t="shared" si="24"/>
        <v>4.4009621502662875E-2</v>
      </c>
      <c r="I49" s="272">
        <f t="shared" si="25"/>
        <v>2267154283863490</v>
      </c>
      <c r="J49" s="272" t="str">
        <f t="shared" si="26"/>
        <v/>
      </c>
      <c r="K49" s="272">
        <f t="shared" si="27"/>
        <v>2267154283863490</v>
      </c>
      <c r="L49" s="274">
        <f t="shared" si="36"/>
        <v>-7.4355721516670758E+17</v>
      </c>
      <c r="M49" s="223" t="str">
        <f t="shared" si="28"/>
        <v/>
      </c>
      <c r="N49" s="223" t="str">
        <f t="shared" si="29"/>
        <v/>
      </c>
      <c r="O49" s="274">
        <f t="shared" si="30"/>
        <v>2267154283863490</v>
      </c>
      <c r="P49" s="272">
        <f t="shared" si="37"/>
        <v>2.1151218015968892E-4</v>
      </c>
      <c r="Q49" s="274" t="str">
        <f t="shared" si="38"/>
        <v/>
      </c>
      <c r="R49" s="275" t="str">
        <f t="shared" si="39"/>
        <v/>
      </c>
      <c r="S49" s="276">
        <f>IF(AND(E49&gt;0.95*BiasLight,E49&lt;1.05*BiasLight),"",IF(AugerModel="Sinton",calclifetimeauger(Auger_Coefficient,I49,P49),calclifetimerichter(SampleType,I49,SampleDoping,P49)))</f>
        <v>4719.3277320563875</v>
      </c>
      <c r="T49" s="278" t="str">
        <f t="shared" si="40"/>
        <v/>
      </c>
      <c r="U49" s="276">
        <f t="shared" si="31"/>
        <v>4574.7987360033585</v>
      </c>
      <c r="V49" s="275" t="str">
        <f>IF(AugerModel="Sinton","",IF(SampleType="n-type",n_intr_boltzmann(SampleDoping,0,K49,298.15),n_intr_boltzmann(0,SampleDoping,K49,298.15)))</f>
        <v/>
      </c>
      <c r="W49" s="275" t="str">
        <f t="shared" si="15"/>
        <v/>
      </c>
      <c r="X49" s="270">
        <f>IF(AND(A49&gt;TimeofMaxCD,I49&gt;Traps),IF(AugerModel="Sinton",CalcImpliedV(SampleDoping,O49),CalcImpliedVRichter(O49,SampleDoping,V49)),"")</f>
        <v>0.6425524455117898</v>
      </c>
      <c r="Y49" s="277">
        <f t="shared" si="32"/>
        <v>4.5188154922868833</v>
      </c>
      <c r="Z49" s="279">
        <f t="shared" si="33"/>
        <v>-7.9135822495579836E-2</v>
      </c>
      <c r="AA49" s="279">
        <f t="shared" si="34"/>
        <v>-0.12315854223004093</v>
      </c>
      <c r="AB49" s="226" t="str">
        <f t="shared" si="35"/>
        <v/>
      </c>
    </row>
    <row r="50" spans="1:28">
      <c r="A50" s="268">
        <v>4.1498999999999998E-3</v>
      </c>
      <c r="B50" s="268">
        <v>1.52278</v>
      </c>
      <c r="C50" s="269">
        <v>3.3139799999999997E-2</v>
      </c>
      <c r="D50" s="270">
        <f>IF(CouplingMode="AC",B50-(A$11-A$10)*SUM(B$9:B50)/0.21,B50)</f>
        <v>1.52278</v>
      </c>
      <c r="E50" s="271">
        <f t="shared" si="21"/>
        <v>3.9402192432729644</v>
      </c>
      <c r="F50" s="271">
        <f t="shared" si="22"/>
        <v>3.9402192432729644</v>
      </c>
      <c r="G50" s="272">
        <f t="shared" si="23"/>
        <v>6.5424364463833242E+17</v>
      </c>
      <c r="H50" s="273">
        <f t="shared" si="24"/>
        <v>4.2645588985219918E-2</v>
      </c>
      <c r="I50" s="272">
        <f t="shared" si="25"/>
        <v>2194801256365321</v>
      </c>
      <c r="J50" s="272" t="str">
        <f t="shared" si="26"/>
        <v/>
      </c>
      <c r="K50" s="272">
        <f t="shared" si="27"/>
        <v>2194801256365321</v>
      </c>
      <c r="L50" s="274">
        <f t="shared" si="36"/>
        <v>-7.175281360423209E+17</v>
      </c>
      <c r="M50" s="223" t="str">
        <f t="shared" si="28"/>
        <v/>
      </c>
      <c r="N50" s="223" t="str">
        <f t="shared" si="29"/>
        <v/>
      </c>
      <c r="O50" s="274">
        <f t="shared" si="30"/>
        <v>2194801256365321</v>
      </c>
      <c r="P50" s="272">
        <f t="shared" si="37"/>
        <v>2.1808729116186548E-4</v>
      </c>
      <c r="Q50" s="274" t="str">
        <f t="shared" si="38"/>
        <v/>
      </c>
      <c r="R50" s="275" t="str">
        <f t="shared" si="39"/>
        <v/>
      </c>
      <c r="S50" s="276">
        <f>IF(AND(E50&gt;0.95*BiasLight,E50&lt;1.05*BiasLight),"",IF(AugerModel="Sinton",calclifetimeauger(Auger_Coefficient,I50,P50),calclifetimerichter(SampleType,I50,SampleDoping,P50)))</f>
        <v>4577.3234446342249</v>
      </c>
      <c r="T50" s="278" t="str">
        <f t="shared" si="40"/>
        <v/>
      </c>
      <c r="U50" s="276">
        <f t="shared" si="31"/>
        <v>4470.4056393825476</v>
      </c>
      <c r="V50" s="275" t="str">
        <f>IF(AugerModel="Sinton","",IF(SampleType="n-type",n_intr_boltzmann(SampleDoping,0,K50,298.15),n_intr_boltzmann(0,SampleDoping,K50,298.15)))</f>
        <v/>
      </c>
      <c r="W50" s="275" t="str">
        <f t="shared" si="15"/>
        <v/>
      </c>
      <c r="X50" s="270">
        <f>IF(AND(A50&gt;TimeofMaxCD,I50&gt;Traps),IF(AugerModel="Sinton",CalcImpliedV(SampleDoping,O50),CalcImpliedVRichter(O50,SampleDoping,V50)),"")</f>
        <v>0.64092546151098728</v>
      </c>
      <c r="Y50" s="277">
        <f t="shared" si="32"/>
        <v>4.2427139995729108</v>
      </c>
      <c r="Z50" s="279">
        <f t="shared" si="33"/>
        <v>-7.2741828835354266E-2</v>
      </c>
      <c r="AA50" s="279">
        <f t="shared" si="34"/>
        <v>-0.11349498998505189</v>
      </c>
      <c r="AB50" s="226" t="str">
        <f t="shared" si="35"/>
        <v/>
      </c>
    </row>
    <row r="51" spans="1:28">
      <c r="A51" s="268">
        <v>4.2499E-3</v>
      </c>
      <c r="B51" s="268">
        <v>1.47559</v>
      </c>
      <c r="C51" s="269">
        <v>3.1439599999999998E-2</v>
      </c>
      <c r="D51" s="270">
        <f>IF(CouplingMode="AC",B51-(A$11-A$10)*SUM(B$9:B51)/0.21,B51)</f>
        <v>1.47559</v>
      </c>
      <c r="E51" s="271">
        <f t="shared" si="21"/>
        <v>3.7380707463776095</v>
      </c>
      <c r="F51" s="271">
        <f t="shared" si="22"/>
        <v>3.7380707463776095</v>
      </c>
      <c r="G51" s="272">
        <f t="shared" si="23"/>
        <v>6.2067841356831706E+17</v>
      </c>
      <c r="H51" s="273">
        <f t="shared" si="24"/>
        <v>4.1310200817718572E-2</v>
      </c>
      <c r="I51" s="272">
        <f t="shared" si="25"/>
        <v>2124089956570445.5</v>
      </c>
      <c r="J51" s="272" t="str">
        <f t="shared" si="26"/>
        <v/>
      </c>
      <c r="K51" s="272">
        <f t="shared" si="27"/>
        <v>2124089956570445.5</v>
      </c>
      <c r="L51" s="274">
        <f t="shared" si="36"/>
        <v>-6.8938458199598976E+17</v>
      </c>
      <c r="M51" s="223" t="str">
        <f t="shared" si="28"/>
        <v/>
      </c>
      <c r="N51" s="223" t="str">
        <f t="shared" si="29"/>
        <v/>
      </c>
      <c r="O51" s="274">
        <f t="shared" si="30"/>
        <v>2124089956570445.5</v>
      </c>
      <c r="P51" s="272">
        <f t="shared" si="37"/>
        <v>2.2227304992602321E-4</v>
      </c>
      <c r="Q51" s="274" t="str">
        <f t="shared" si="38"/>
        <v/>
      </c>
      <c r="R51" s="275" t="str">
        <f t="shared" si="39"/>
        <v/>
      </c>
      <c r="S51" s="276">
        <f>IF(AND(E51&gt;0.95*BiasLight,E51&lt;1.05*BiasLight),"",IF(AugerModel="Sinton",calclifetimeauger(Auger_Coefficient,I51,P51),calclifetimerichter(SampleType,I51,SampleDoping,P51)))</f>
        <v>4491.4814558431954</v>
      </c>
      <c r="T51" s="278" t="str">
        <f t="shared" si="40"/>
        <v/>
      </c>
      <c r="U51" s="276">
        <f t="shared" si="31"/>
        <v>4368.381276243681</v>
      </c>
      <c r="V51" s="275" t="str">
        <f>IF(AugerModel="Sinton","",IF(SampleType="n-type",n_intr_boltzmann(SampleDoping,0,K51,298.15),n_intr_boltzmann(0,SampleDoping,K51,298.15)))</f>
        <v/>
      </c>
      <c r="W51" s="275" t="str">
        <f t="shared" si="15"/>
        <v/>
      </c>
      <c r="X51" s="270">
        <f>IF(AND(A51&gt;TimeofMaxCD,I51&gt;Traps),IF(AugerModel="Sinton",CalcImpliedV(SampleDoping,O51),CalcImpliedVRichter(O51,SampleDoping,V51)),"")</f>
        <v>0.63928397623559774</v>
      </c>
      <c r="Y51" s="277">
        <f t="shared" si="32"/>
        <v>4.0287007727874968</v>
      </c>
      <c r="Z51" s="279">
        <f t="shared" si="33"/>
        <v>-6.776699554993966E-2</v>
      </c>
      <c r="AA51" s="279">
        <f t="shared" si="34"/>
        <v>-0.1060045270475624</v>
      </c>
      <c r="AB51" s="226" t="str">
        <f t="shared" si="35"/>
        <v/>
      </c>
    </row>
    <row r="52" spans="1:28">
      <c r="A52" s="268">
        <v>4.3499000000000003E-3</v>
      </c>
      <c r="B52" s="268">
        <v>1.43021</v>
      </c>
      <c r="C52" s="269">
        <v>2.9847800000000001E-2</v>
      </c>
      <c r="D52" s="270">
        <f>IF(CouplingMode="AC",B52-(A$11-A$10)*SUM(B$9:B52)/0.21,B52)</f>
        <v>1.43021</v>
      </c>
      <c r="E52" s="271">
        <f t="shared" si="21"/>
        <v>3.5488106726462685</v>
      </c>
      <c r="F52" s="271">
        <f t="shared" si="22"/>
        <v>3.5488106726462685</v>
      </c>
      <c r="G52" s="272">
        <f t="shared" si="23"/>
        <v>5.8925320781767002E+17</v>
      </c>
      <c r="H52" s="273">
        <f t="shared" si="24"/>
        <v>4.0026866460748788E-2</v>
      </c>
      <c r="I52" s="272">
        <f t="shared" si="25"/>
        <v>2056249407246207.2</v>
      </c>
      <c r="J52" s="272" t="str">
        <f t="shared" si="26"/>
        <v/>
      </c>
      <c r="K52" s="272">
        <f t="shared" si="27"/>
        <v>2056249407246207.2</v>
      </c>
      <c r="L52" s="274">
        <f t="shared" si="36"/>
        <v>-6.6478051286019635E+17</v>
      </c>
      <c r="M52" s="223" t="str">
        <f t="shared" si="28"/>
        <v/>
      </c>
      <c r="N52" s="223" t="str">
        <f t="shared" si="29"/>
        <v/>
      </c>
      <c r="O52" s="274">
        <f t="shared" si="30"/>
        <v>2056249407246207.2</v>
      </c>
      <c r="P52" s="272">
        <f t="shared" si="37"/>
        <v>2.2639227838257232E-4</v>
      </c>
      <c r="Q52" s="274" t="str">
        <f t="shared" si="38"/>
        <v/>
      </c>
      <c r="R52" s="275" t="str">
        <f t="shared" si="39"/>
        <v/>
      </c>
      <c r="S52" s="276">
        <f>IF(AND(E52&gt;0.95*BiasLight,E52&lt;1.05*BiasLight),"",IF(AugerModel="Sinton",calclifetimeauger(Auger_Coefficient,I52,P52),calclifetimerichter(SampleType,I52,SampleDoping,P52)))</f>
        <v>4410.0930328305221</v>
      </c>
      <c r="T52" s="278" t="str">
        <f t="shared" si="40"/>
        <v/>
      </c>
      <c r="U52" s="276">
        <f t="shared" si="31"/>
        <v>4270.4989171317102</v>
      </c>
      <c r="V52" s="275" t="str">
        <f>IF(AugerModel="Sinton","",IF(SampleType="n-type",n_intr_boltzmann(SampleDoping,0,K52,298.15),n_intr_boltzmann(0,SampleDoping,K52,298.15)))</f>
        <v/>
      </c>
      <c r="W52" s="275" t="str">
        <f t="shared" si="15"/>
        <v/>
      </c>
      <c r="X52" s="270">
        <f>IF(AND(A52&gt;TimeofMaxCD,I52&gt;Traps),IF(AugerModel="Sinton",CalcImpliedV(SampleDoping,O52),CalcImpliedVRichter(O52,SampleDoping,V52)),"")</f>
        <v>0.63765822102321223</v>
      </c>
      <c r="Y52" s="277">
        <f t="shared" si="32"/>
        <v>3.8290681414889089</v>
      </c>
      <c r="Z52" s="279">
        <f t="shared" si="33"/>
        <v>-6.3139249538934211E-2</v>
      </c>
      <c r="AA52" s="279">
        <f t="shared" si="34"/>
        <v>-9.901738495211182E-2</v>
      </c>
      <c r="AB52" s="226" t="str">
        <f t="shared" si="35"/>
        <v/>
      </c>
    </row>
    <row r="53" spans="1:28">
      <c r="A53" s="268">
        <v>4.4498999999999997E-3</v>
      </c>
      <c r="B53" s="268">
        <v>1.38696</v>
      </c>
      <c r="C53" s="269">
        <v>2.79142E-2</v>
      </c>
      <c r="D53" s="270">
        <f>IF(CouplingMode="AC",B53-(A$11-A$10)*SUM(B$9:B53)/0.21,B53)</f>
        <v>1.38696</v>
      </c>
      <c r="E53" s="271">
        <f t="shared" si="21"/>
        <v>3.3189116410047799</v>
      </c>
      <c r="F53" s="271">
        <f t="shared" si="22"/>
        <v>3.3189116410047799</v>
      </c>
      <c r="G53" s="272">
        <f t="shared" si="23"/>
        <v>5.5108021005447648E+17</v>
      </c>
      <c r="H53" s="273">
        <f t="shared" si="24"/>
        <v>3.8804529160871092E-2</v>
      </c>
      <c r="I53" s="272">
        <f t="shared" si="25"/>
        <v>1991737917425052.2</v>
      </c>
      <c r="J53" s="272" t="str">
        <f t="shared" si="26"/>
        <v/>
      </c>
      <c r="K53" s="272">
        <f t="shared" si="27"/>
        <v>1991737917425052.2</v>
      </c>
      <c r="L53" s="274">
        <f t="shared" si="36"/>
        <v>-6.3926745256517069E+17</v>
      </c>
      <c r="M53" s="223" t="str">
        <f t="shared" si="28"/>
        <v/>
      </c>
      <c r="N53" s="223" t="str">
        <f t="shared" si="29"/>
        <v/>
      </c>
      <c r="O53" s="274">
        <f t="shared" si="30"/>
        <v>1991737917425052.2</v>
      </c>
      <c r="P53" s="272">
        <f t="shared" si="37"/>
        <v>2.3399611330385625E-4</v>
      </c>
      <c r="Q53" s="274" t="str">
        <f t="shared" si="38"/>
        <v/>
      </c>
      <c r="R53" s="275" t="str">
        <f t="shared" si="39"/>
        <v/>
      </c>
      <c r="S53" s="276">
        <f>IF(AND(E53&gt;0.95*BiasLight,E53&lt;1.05*BiasLight),"",IF(AugerModel="Sinton",calclifetimeauger(Auger_Coefficient,I53,P53),calclifetimerichter(SampleType,I53,SampleDoping,P53)))</f>
        <v>4266.9900037016987</v>
      </c>
      <c r="T53" s="278" t="str">
        <f t="shared" si="40"/>
        <v/>
      </c>
      <c r="U53" s="276">
        <f t="shared" si="31"/>
        <v>4177.4198239282814</v>
      </c>
      <c r="V53" s="275" t="str">
        <f>IF(AugerModel="Sinton","",IF(SampleType="n-type",n_intr_boltzmann(SampleDoping,0,K53,298.15),n_intr_boltzmann(0,SampleDoping,K53,298.15)))</f>
        <v/>
      </c>
      <c r="W53" s="275" t="str">
        <f t="shared" si="15"/>
        <v/>
      </c>
      <c r="X53" s="270">
        <f>IF(AND(A53&gt;TimeofMaxCD,I53&gt;Traps),IF(AugerModel="Sinton",CalcImpliedV(SampleDoping,O53),CalcImpliedVRichter(O53,SampleDoping,V53)),"")</f>
        <v>0.63606298180381549</v>
      </c>
      <c r="Y53" s="277">
        <f t="shared" si="32"/>
        <v>3.5884133407440961</v>
      </c>
      <c r="Z53" s="279">
        <f t="shared" si="33"/>
        <v>-5.762378676790629E-2</v>
      </c>
      <c r="AA53" s="279">
        <f t="shared" si="34"/>
        <v>-9.0594466926043379E-2</v>
      </c>
      <c r="AB53" s="226" t="str">
        <f t="shared" si="35"/>
        <v/>
      </c>
    </row>
    <row r="54" spans="1:28">
      <c r="A54" s="268">
        <v>4.5499E-3</v>
      </c>
      <c r="B54" s="268">
        <v>1.34453</v>
      </c>
      <c r="C54" s="269">
        <v>2.67399E-2</v>
      </c>
      <c r="D54" s="270">
        <f>IF(CouplingMode="AC",B54-(A$11-A$10)*SUM(B$9:B54)/0.21,B54)</f>
        <v>1.34453</v>
      </c>
      <c r="E54" s="271">
        <f t="shared" si="21"/>
        <v>3.1792910199577173</v>
      </c>
      <c r="F54" s="271">
        <f t="shared" si="22"/>
        <v>3.1792910199577173</v>
      </c>
      <c r="G54" s="272">
        <f t="shared" si="23"/>
        <v>5.2789726049235501E+17</v>
      </c>
      <c r="H54" s="273">
        <f t="shared" si="24"/>
        <v>3.7606088744402702E-2</v>
      </c>
      <c r="I54" s="272">
        <f t="shared" si="25"/>
        <v>1928587019507919.5</v>
      </c>
      <c r="J54" s="272" t="str">
        <f t="shared" si="26"/>
        <v/>
      </c>
      <c r="K54" s="272">
        <f t="shared" si="27"/>
        <v>1928587019507919.5</v>
      </c>
      <c r="L54" s="274">
        <f t="shared" si="36"/>
        <v>-6.1797665276559629E+17</v>
      </c>
      <c r="M54" s="223" t="str">
        <f t="shared" si="28"/>
        <v/>
      </c>
      <c r="N54" s="223" t="str">
        <f t="shared" si="29"/>
        <v/>
      </c>
      <c r="O54" s="274">
        <f t="shared" si="30"/>
        <v>1928587019507919.5</v>
      </c>
      <c r="P54" s="272">
        <f t="shared" si="37"/>
        <v>2.3636481052819589E-4</v>
      </c>
      <c r="Q54" s="274" t="str">
        <f t="shared" si="38"/>
        <v/>
      </c>
      <c r="R54" s="275" t="str">
        <f t="shared" si="39"/>
        <v/>
      </c>
      <c r="S54" s="276">
        <f>IF(AND(E54&gt;0.95*BiasLight,E54&lt;1.05*BiasLight),"",IF(AugerModel="Sinton",calclifetimeauger(Auger_Coefficient,I54,P54),calclifetimerichter(SampleType,I54,SampleDoping,P54)))</f>
        <v>4224.5739305223788</v>
      </c>
      <c r="T54" s="278" t="str">
        <f t="shared" si="40"/>
        <v/>
      </c>
      <c r="U54" s="276">
        <f t="shared" si="31"/>
        <v>4086.3038331271919</v>
      </c>
      <c r="V54" s="275" t="str">
        <f>IF(AugerModel="Sinton","",IF(SampleType="n-type",n_intr_boltzmann(SampleDoping,0,K54,298.15),n_intr_boltzmann(0,SampleDoping,K54,298.15)))</f>
        <v/>
      </c>
      <c r="W54" s="275" t="str">
        <f t="shared" si="15"/>
        <v/>
      </c>
      <c r="X54" s="270">
        <f>IF(AND(A54&gt;TimeofMaxCD,I54&gt;Traps),IF(AugerModel="Sinton",CalcImpliedV(SampleDoping,O54),CalcImpliedVRichter(O54,SampleDoping,V54)),"")</f>
        <v>0.63445185795986869</v>
      </c>
      <c r="Y54" s="277">
        <f t="shared" si="32"/>
        <v>3.4398169667288969</v>
      </c>
      <c r="Z54" s="279">
        <f t="shared" si="33"/>
        <v>-5.4178124266810603E-2</v>
      </c>
      <c r="AA54" s="279">
        <f t="shared" si="34"/>
        <v>-8.53935938355114E-2</v>
      </c>
      <c r="AB54" s="226" t="str">
        <f t="shared" si="35"/>
        <v/>
      </c>
    </row>
    <row r="55" spans="1:28">
      <c r="A55" s="268">
        <v>4.6499000000000002E-3</v>
      </c>
      <c r="B55" s="268">
        <v>1.30393</v>
      </c>
      <c r="C55" s="269">
        <v>2.5214500000000001E-2</v>
      </c>
      <c r="D55" s="270">
        <f>IF(CouplingMode="AC",B55-(A$11-A$10)*SUM(B$9:B55)/0.21,B55)</f>
        <v>1.30393</v>
      </c>
      <c r="E55" s="271">
        <f t="shared" si="21"/>
        <v>2.9979256998987975</v>
      </c>
      <c r="F55" s="271">
        <f t="shared" si="22"/>
        <v>2.9979256998987975</v>
      </c>
      <c r="G55" s="272">
        <f t="shared" si="23"/>
        <v>4.9778291895947565E+17</v>
      </c>
      <c r="H55" s="273">
        <f t="shared" si="24"/>
        <v>3.6460006327334378E-2</v>
      </c>
      <c r="I55" s="272">
        <f t="shared" si="25"/>
        <v>1868287424157004</v>
      </c>
      <c r="J55" s="272" t="str">
        <f t="shared" si="26"/>
        <v/>
      </c>
      <c r="K55" s="272">
        <f t="shared" si="27"/>
        <v>1868287424157004</v>
      </c>
      <c r="L55" s="274">
        <f t="shared" si="36"/>
        <v>-5.9814351697609408E+17</v>
      </c>
      <c r="M55" s="223" t="str">
        <f t="shared" si="28"/>
        <v/>
      </c>
      <c r="N55" s="223" t="str">
        <f t="shared" si="29"/>
        <v/>
      </c>
      <c r="O55" s="274">
        <f t="shared" si="30"/>
        <v>1868287424157004</v>
      </c>
      <c r="P55" s="272">
        <f t="shared" si="37"/>
        <v>2.4234114910342747E-4</v>
      </c>
      <c r="Q55" s="274" t="str">
        <f t="shared" si="38"/>
        <v/>
      </c>
      <c r="R55" s="275" t="str">
        <f t="shared" si="39"/>
        <v/>
      </c>
      <c r="S55" s="276">
        <f>IF(AND(E55&gt;0.95*BiasLight,E55&lt;1.05*BiasLight),"",IF(AugerModel="Sinton",calclifetimeauger(Auger_Coefficient,I55,P55),calclifetimerichter(SampleType,I55,SampleDoping,P55)))</f>
        <v>4120.6201430634583</v>
      </c>
      <c r="T55" s="278" t="str">
        <f t="shared" si="40"/>
        <v/>
      </c>
      <c r="U55" s="276">
        <f t="shared" si="31"/>
        <v>3999.3017863389878</v>
      </c>
      <c r="V55" s="275" t="str">
        <f>IF(AugerModel="Sinton","",IF(SampleType="n-type",n_intr_boltzmann(SampleDoping,0,K55,298.15),n_intr_boltzmann(0,SampleDoping,K55,298.15)))</f>
        <v/>
      </c>
      <c r="W55" s="275" t="str">
        <f t="shared" si="15"/>
        <v/>
      </c>
      <c r="X55" s="270">
        <f>IF(AND(A55&gt;TimeofMaxCD,I55&gt;Traps),IF(AugerModel="Sinton",CalcImpliedV(SampleDoping,O55),CalcImpliedVRichter(O55,SampleDoping,V55)),"")</f>
        <v>0.63286480532218192</v>
      </c>
      <c r="Y55" s="277">
        <f t="shared" si="32"/>
        <v>3.250090414160824</v>
      </c>
      <c r="Z55" s="279">
        <f t="shared" si="33"/>
        <v>-4.9840106117031921E-2</v>
      </c>
      <c r="AA55" s="279">
        <f t="shared" si="34"/>
        <v>-7.8753164495628844E-2</v>
      </c>
      <c r="AB55" s="226" t="str">
        <f t="shared" si="35"/>
        <v/>
      </c>
    </row>
    <row r="56" spans="1:28">
      <c r="A56" s="268">
        <v>4.7498999999999996E-3</v>
      </c>
      <c r="B56" s="268">
        <v>1.2639199999999999</v>
      </c>
      <c r="C56" s="269">
        <v>2.3424899999999999E-2</v>
      </c>
      <c r="D56" s="270">
        <f>IF(CouplingMode="AC",B56-(A$11-A$10)*SUM(B$9:B56)/0.21,B56)</f>
        <v>1.2639199999999999</v>
      </c>
      <c r="E56" s="271">
        <f t="shared" si="21"/>
        <v>2.7851478207999105</v>
      </c>
      <c r="F56" s="271">
        <f t="shared" si="22"/>
        <v>2.7851478207999105</v>
      </c>
      <c r="G56" s="272">
        <f t="shared" si="23"/>
        <v>4.6245275925891142E+17</v>
      </c>
      <c r="H56" s="273">
        <f t="shared" si="24"/>
        <v>3.5331219277479516E-2</v>
      </c>
      <c r="I56" s="272">
        <f t="shared" si="25"/>
        <v>1808986327497433.5</v>
      </c>
      <c r="J56" s="272" t="str">
        <f t="shared" si="26"/>
        <v/>
      </c>
      <c r="K56" s="272">
        <f t="shared" si="27"/>
        <v>1808986327497433.5</v>
      </c>
      <c r="L56" s="274">
        <f t="shared" si="36"/>
        <v>-5.7751704344450573E+17</v>
      </c>
      <c r="M56" s="223" t="str">
        <f t="shared" si="28"/>
        <v/>
      </c>
      <c r="N56" s="223" t="str">
        <f t="shared" si="29"/>
        <v/>
      </c>
      <c r="O56" s="274">
        <f t="shared" si="30"/>
        <v>1808986327497433.5</v>
      </c>
      <c r="P56" s="272">
        <f t="shared" si="37"/>
        <v>2.5180819826651075E-4</v>
      </c>
      <c r="Q56" s="274" t="str">
        <f t="shared" si="38"/>
        <v/>
      </c>
      <c r="R56" s="275" t="str">
        <f t="shared" si="39"/>
        <v/>
      </c>
      <c r="S56" s="276">
        <f>IF(AND(E56&gt;0.95*BiasLight,E56&lt;1.05*BiasLight),"",IF(AugerModel="Sinton",calclifetimeauger(Auger_Coefficient,I56,P56),calclifetimerichter(SampleType,I56,SampleDoping,P56)))</f>
        <v>3965.8443419562241</v>
      </c>
      <c r="T56" s="278" t="str">
        <f t="shared" si="40"/>
        <v/>
      </c>
      <c r="U56" s="276">
        <f t="shared" si="31"/>
        <v>3913.7404031133965</v>
      </c>
      <c r="V56" s="275" t="str">
        <f>IF(AugerModel="Sinton","",IF(SampleType="n-type",n_intr_boltzmann(SampleDoping,0,K56,298.15),n_intr_boltzmann(0,SampleDoping,K56,298.15)))</f>
        <v/>
      </c>
      <c r="W56" s="275" t="str">
        <f t="shared" si="15"/>
        <v/>
      </c>
      <c r="X56" s="270">
        <f>IF(AND(A56&gt;TimeofMaxCD,I56&gt;Traps),IF(AugerModel="Sinton",CalcImpliedV(SampleDoping,O56),CalcImpliedVRichter(O56,SampleDoping,V56)),"")</f>
        <v>0.63125466893763404</v>
      </c>
      <c r="Y56" s="277">
        <f t="shared" si="32"/>
        <v>3.0286168480625677</v>
      </c>
      <c r="Z56" s="279">
        <f t="shared" si="33"/>
        <v>-4.4820084988876505E-2</v>
      </c>
      <c r="AA56" s="279">
        <f t="shared" si="34"/>
        <v>-7.1001589682189878E-2</v>
      </c>
      <c r="AB56" s="226" t="str">
        <f t="shared" si="35"/>
        <v/>
      </c>
    </row>
    <row r="57" spans="1:28">
      <c r="A57" s="268">
        <v>4.8498999999999999E-3</v>
      </c>
      <c r="B57" s="268">
        <v>1.2257100000000001</v>
      </c>
      <c r="C57" s="269">
        <v>2.2516700000000001E-2</v>
      </c>
      <c r="D57" s="270">
        <f>IF(CouplingMode="AC",B57-(A$11-A$10)*SUM(B$9:B57)/0.21,B57)</f>
        <v>1.2257100000000001</v>
      </c>
      <c r="E57" s="271">
        <f t="shared" si="21"/>
        <v>2.6771656628888638</v>
      </c>
      <c r="F57" s="271">
        <f t="shared" si="22"/>
        <v>2.6771656628888638</v>
      </c>
      <c r="G57" s="272">
        <f t="shared" si="23"/>
        <v>4.4452313753335693E+17</v>
      </c>
      <c r="H57" s="273">
        <f t="shared" si="24"/>
        <v>3.4253808474878772E-2</v>
      </c>
      <c r="I57" s="272">
        <f t="shared" si="25"/>
        <v>1752466504942248.3</v>
      </c>
      <c r="J57" s="272" t="str">
        <f t="shared" si="26"/>
        <v/>
      </c>
      <c r="K57" s="272">
        <f t="shared" si="27"/>
        <v>1752466504942248.3</v>
      </c>
      <c r="L57" s="274">
        <f t="shared" si="36"/>
        <v>-5.5714443699114042E+17</v>
      </c>
      <c r="M57" s="223" t="str">
        <f t="shared" si="28"/>
        <v/>
      </c>
      <c r="N57" s="223" t="str">
        <f t="shared" si="29"/>
        <v/>
      </c>
      <c r="O57" s="274">
        <f t="shared" si="30"/>
        <v>1752466504942248.3</v>
      </c>
      <c r="P57" s="272">
        <f t="shared" si="37"/>
        <v>2.5370580591983939E-4</v>
      </c>
      <c r="Q57" s="274" t="str">
        <f t="shared" si="38"/>
        <v/>
      </c>
      <c r="R57" s="275" t="str">
        <f t="shared" si="39"/>
        <v/>
      </c>
      <c r="S57" s="276">
        <f>IF(AND(E57&gt;0.95*BiasLight,E57&lt;1.05*BiasLight),"",IF(AugerModel="Sinton",calclifetimeauger(Auger_Coefficient,I57,P57),calclifetimerichter(SampleType,I57,SampleDoping,P57)))</f>
        <v>3936.4750886248189</v>
      </c>
      <c r="T57" s="278" t="str">
        <f t="shared" si="40"/>
        <v/>
      </c>
      <c r="U57" s="276">
        <f t="shared" si="31"/>
        <v>3832.1919247564424</v>
      </c>
      <c r="V57" s="275" t="str">
        <f>IF(AugerModel="Sinton","",IF(SampleType="n-type",n_intr_boltzmann(SampleDoping,0,K57,298.15),n_intr_boltzmann(0,SampleDoping,K57,298.15)))</f>
        <v/>
      </c>
      <c r="W57" s="275" t="str">
        <f t="shared" si="15"/>
        <v/>
      </c>
      <c r="X57" s="270">
        <f>IF(AND(A57&gt;TimeofMaxCD,I57&gt;Traps),IF(AugerModel="Sinton",CalcImpliedV(SampleDoping,O57),CalcImpliedVRichter(O57,SampleDoping,V57)),"")</f>
        <v>0.62967156714750327</v>
      </c>
      <c r="Y57" s="277">
        <f t="shared" si="32"/>
        <v>2.9120460281677603</v>
      </c>
      <c r="Z57" s="279">
        <f t="shared" si="33"/>
        <v>-4.2138635665509357E-2</v>
      </c>
      <c r="AA57" s="279">
        <f t="shared" si="34"/>
        <v>-6.6921610985871613E-2</v>
      </c>
      <c r="AB57" s="226" t="str">
        <f t="shared" si="35"/>
        <v/>
      </c>
    </row>
    <row r="58" spans="1:28">
      <c r="A58" s="268">
        <v>4.9499000000000001E-3</v>
      </c>
      <c r="B58" s="268">
        <v>1.1886399999999999</v>
      </c>
      <c r="C58" s="269">
        <v>2.1107000000000001E-2</v>
      </c>
      <c r="D58" s="270">
        <f>IF(CouplingMode="AC",B58-(A$11-A$10)*SUM(B$9:B58)/0.21,B58)</f>
        <v>1.1886399999999999</v>
      </c>
      <c r="E58" s="271">
        <f t="shared" si="21"/>
        <v>2.5095567133103542</v>
      </c>
      <c r="F58" s="271">
        <f t="shared" si="22"/>
        <v>2.5095567133103542</v>
      </c>
      <c r="G58" s="272">
        <f t="shared" si="23"/>
        <v>4.1669293741607629E+17</v>
      </c>
      <c r="H58" s="273">
        <f t="shared" si="24"/>
        <v>3.3209096529612903E-2</v>
      </c>
      <c r="I58" s="272">
        <f t="shared" si="25"/>
        <v>1697738957393044.5</v>
      </c>
      <c r="J58" s="272" t="str">
        <f t="shared" si="26"/>
        <v/>
      </c>
      <c r="K58" s="272">
        <f t="shared" si="27"/>
        <v>1697738957393044.5</v>
      </c>
      <c r="L58" s="274">
        <f t="shared" si="36"/>
        <v>-5.3888306024382272E+17</v>
      </c>
      <c r="M58" s="223" t="str">
        <f t="shared" si="28"/>
        <v/>
      </c>
      <c r="N58" s="223" t="str">
        <f t="shared" si="29"/>
        <v/>
      </c>
      <c r="O58" s="274">
        <f t="shared" si="30"/>
        <v>1697738957393044.5</v>
      </c>
      <c r="P58" s="272">
        <f t="shared" si="37"/>
        <v>2.6152700058790327E-4</v>
      </c>
      <c r="Q58" s="274" t="str">
        <f t="shared" si="38"/>
        <v/>
      </c>
      <c r="R58" s="275" t="str">
        <f t="shared" si="39"/>
        <v/>
      </c>
      <c r="S58" s="276">
        <f>IF(AND(E58&gt;0.95*BiasLight,E58&lt;1.05*BiasLight),"",IF(AugerModel="Sinton",calclifetimeauger(Auger_Coefficient,I58,P58),calclifetimerichter(SampleType,I58,SampleDoping,P58)))</f>
        <v>3818.912323904256</v>
      </c>
      <c r="T58" s="278" t="str">
        <f t="shared" si="40"/>
        <v/>
      </c>
      <c r="U58" s="276">
        <f t="shared" si="31"/>
        <v>3753.2293940003019</v>
      </c>
      <c r="V58" s="275" t="str">
        <f>IF(AugerModel="Sinton","",IF(SampleType="n-type",n_intr_boltzmann(SampleDoping,0,K58,298.15),n_intr_boltzmann(0,SampleDoping,K58,298.15)))</f>
        <v/>
      </c>
      <c r="W58" s="275" t="str">
        <f t="shared" si="15"/>
        <v/>
      </c>
      <c r="X58" s="270">
        <f>IF(AND(A58&gt;TimeofMaxCD,I58&gt;Traps),IF(AugerModel="Sinton",CalcImpliedV(SampleDoping,O58),CalcImpliedVRichter(O58,SampleDoping,V58)),"")</f>
        <v>0.6280906882623849</v>
      </c>
      <c r="Y58" s="277">
        <f t="shared" si="32"/>
        <v>2.7367384666026182</v>
      </c>
      <c r="Z58" s="279">
        <f t="shared" si="33"/>
        <v>-3.8179024058706913E-2</v>
      </c>
      <c r="AA58" s="279">
        <f t="shared" si="34"/>
        <v>-6.0785846331091645E-2</v>
      </c>
      <c r="AB58" s="226" t="str">
        <f t="shared" si="35"/>
        <v/>
      </c>
    </row>
    <row r="59" spans="1:28">
      <c r="A59" s="268">
        <v>5.0499000000000004E-3</v>
      </c>
      <c r="B59" s="268">
        <v>1.1530800000000001</v>
      </c>
      <c r="C59" s="269">
        <v>1.9729099999999999E-2</v>
      </c>
      <c r="D59" s="270">
        <f>IF(CouplingMode="AC",B59-(A$11-A$10)*SUM(B$9:B59)/0.21,B59)</f>
        <v>1.1530800000000001</v>
      </c>
      <c r="E59" s="271">
        <f t="shared" si="21"/>
        <v>2.3457286849183352</v>
      </c>
      <c r="F59" s="271">
        <f t="shared" si="22"/>
        <v>2.3457286849183352</v>
      </c>
      <c r="G59" s="272">
        <f t="shared" si="23"/>
        <v>3.8949053070429286E+17</v>
      </c>
      <c r="H59" s="273">
        <f t="shared" si="24"/>
        <v>3.2207452504296082E-2</v>
      </c>
      <c r="I59" s="272">
        <f t="shared" si="25"/>
        <v>1645338890713628</v>
      </c>
      <c r="J59" s="272" t="str">
        <f t="shared" si="26"/>
        <v/>
      </c>
      <c r="K59" s="272">
        <f t="shared" si="27"/>
        <v>1645338890713628</v>
      </c>
      <c r="L59" s="274">
        <f t="shared" si="36"/>
        <v>-5.2209896437426656E+17</v>
      </c>
      <c r="M59" s="223" t="str">
        <f t="shared" si="28"/>
        <v/>
      </c>
      <c r="N59" s="223" t="str">
        <f t="shared" si="29"/>
        <v/>
      </c>
      <c r="O59" s="274">
        <f t="shared" si="30"/>
        <v>1645338890713628</v>
      </c>
      <c r="P59" s="272">
        <f t="shared" si="37"/>
        <v>2.7033707982796737E-4</v>
      </c>
      <c r="Q59" s="274" t="str">
        <f t="shared" si="38"/>
        <v/>
      </c>
      <c r="R59" s="275" t="str">
        <f t="shared" si="39"/>
        <v/>
      </c>
      <c r="S59" s="276">
        <f>IF(AND(E59&gt;0.95*BiasLight,E59&lt;1.05*BiasLight),"",IF(AugerModel="Sinton",calclifetimeauger(Auger_Coefficient,I59,P59),calclifetimerichter(SampleType,I59,SampleDoping,P59)))</f>
        <v>3694.5917506813894</v>
      </c>
      <c r="T59" s="278" t="str">
        <f t="shared" si="40"/>
        <v/>
      </c>
      <c r="U59" s="276">
        <f t="shared" si="31"/>
        <v>3677.6250217583843</v>
      </c>
      <c r="V59" s="275" t="str">
        <f>IF(AugerModel="Sinton","",IF(SampleType="n-type",n_intr_boltzmann(SampleDoping,0,K59,298.15),n_intr_boltzmann(0,SampleDoping,K59,298.15)))</f>
        <v/>
      </c>
      <c r="W59" s="275" t="str">
        <f t="shared" si="15"/>
        <v/>
      </c>
      <c r="X59" s="270">
        <f>IF(AND(A59&gt;TimeofMaxCD,I59&gt;Traps),IF(AugerModel="Sinton",CalcImpliedV(SampleDoping,O59),CalcImpliedVRichter(O59,SampleDoping,V59)),"")</f>
        <v>0.62653000288209904</v>
      </c>
      <c r="Y59" s="277">
        <f t="shared" si="32"/>
        <v>2.5658346167413817</v>
      </c>
      <c r="Z59" s="279">
        <f t="shared" si="33"/>
        <v>-3.4336482842895394E-2</v>
      </c>
      <c r="AA59" s="279">
        <f t="shared" si="34"/>
        <v>-5.4804211585948365E-2</v>
      </c>
      <c r="AB59" s="226" t="str">
        <f t="shared" si="35"/>
        <v/>
      </c>
    </row>
    <row r="60" spans="1:28">
      <c r="A60" s="268">
        <v>5.1498999999999998E-3</v>
      </c>
      <c r="B60" s="268">
        <v>1.11757</v>
      </c>
      <c r="C60" s="269">
        <v>1.8978100000000001E-2</v>
      </c>
      <c r="D60" s="270">
        <f>IF(CouplingMode="AC",B60-(A$11-A$10)*SUM(B$9:B60)/0.21,B60)</f>
        <v>1.11757</v>
      </c>
      <c r="E60" s="271">
        <f t="shared" si="21"/>
        <v>2.2564371185329621</v>
      </c>
      <c r="F60" s="271">
        <f t="shared" si="22"/>
        <v>2.2564371185329621</v>
      </c>
      <c r="G60" s="272">
        <f t="shared" si="23"/>
        <v>3.7466434053044186E+17</v>
      </c>
      <c r="H60" s="273">
        <f t="shared" si="24"/>
        <v>3.1207718030911758E-2</v>
      </c>
      <c r="I60" s="272">
        <f t="shared" si="25"/>
        <v>1593108604489832</v>
      </c>
      <c r="J60" s="272" t="str">
        <f t="shared" si="26"/>
        <v/>
      </c>
      <c r="K60" s="272">
        <f t="shared" si="27"/>
        <v>1593108604489832</v>
      </c>
      <c r="L60" s="274">
        <f t="shared" si="36"/>
        <v>-5.0412917304522214E+17</v>
      </c>
      <c r="M60" s="223" t="str">
        <f t="shared" si="28"/>
        <v/>
      </c>
      <c r="N60" s="223" t="str">
        <f t="shared" si="29"/>
        <v/>
      </c>
      <c r="O60" s="274">
        <f t="shared" si="30"/>
        <v>1593108604489832</v>
      </c>
      <c r="P60" s="272">
        <f t="shared" si="37"/>
        <v>2.7202508147429038E-4</v>
      </c>
      <c r="Q60" s="274" t="str">
        <f t="shared" si="38"/>
        <v/>
      </c>
      <c r="R60" s="275" t="str">
        <f t="shared" si="39"/>
        <v/>
      </c>
      <c r="S60" s="276">
        <f>IF(AND(E60&gt;0.95*BiasLight,E60&lt;1.05*BiasLight),"",IF(AugerModel="Sinton",calclifetimeauger(Auger_Coefficient,I60,P60),calclifetimerichter(SampleType,I60,SampleDoping,P60)))</f>
        <v>3671.9185356088174</v>
      </c>
      <c r="T60" s="278" t="str">
        <f t="shared" si="40"/>
        <v/>
      </c>
      <c r="U60" s="276">
        <f t="shared" si="31"/>
        <v>3602.2656137995214</v>
      </c>
      <c r="V60" s="275" t="str">
        <f>IF(AugerModel="Sinton","",IF(SampleType="n-type",n_intr_boltzmann(SampleDoping,0,K60,298.15),n_intr_boltzmann(0,SampleDoping,K60,298.15)))</f>
        <v/>
      </c>
      <c r="W60" s="275" t="str">
        <f t="shared" si="15"/>
        <v/>
      </c>
      <c r="X60" s="270">
        <f>IF(AND(A60&gt;TimeofMaxCD,I60&gt;Traps),IF(AugerModel="Sinton",CalcImpliedV(SampleDoping,O60),CalcImpliedVRichter(O60,SampleDoping,V60)),"")</f>
        <v>0.62492566609192857</v>
      </c>
      <c r="Y60" s="277">
        <f t="shared" si="32"/>
        <v>2.4689673646430794</v>
      </c>
      <c r="Z60" s="279">
        <f t="shared" si="33"/>
        <v>-3.2129839308590848E-2</v>
      </c>
      <c r="AA60" s="279">
        <f t="shared" si="34"/>
        <v>-5.1413857762507786E-2</v>
      </c>
      <c r="AB60" s="226" t="str">
        <f t="shared" si="35"/>
        <v/>
      </c>
    </row>
    <row r="61" spans="1:28">
      <c r="A61" s="268">
        <v>5.2499000000000001E-3</v>
      </c>
      <c r="B61" s="268">
        <v>1.0839399999999999</v>
      </c>
      <c r="C61" s="269">
        <v>1.7658299999999998E-2</v>
      </c>
      <c r="D61" s="270">
        <f>IF(CouplingMode="AC",B61-(A$11-A$10)*SUM(B$9:B61)/0.21,B61)</f>
        <v>1.0839399999999999</v>
      </c>
      <c r="E61" s="271">
        <f t="shared" si="21"/>
        <v>2.0995169996043122</v>
      </c>
      <c r="F61" s="271">
        <f t="shared" si="22"/>
        <v>2.0995169996043122</v>
      </c>
      <c r="G61" s="272">
        <f t="shared" si="23"/>
        <v>3.4860894000920538E+17</v>
      </c>
      <c r="H61" s="273">
        <f t="shared" si="24"/>
        <v>3.0261374076433829E-2</v>
      </c>
      <c r="I61" s="272">
        <f t="shared" si="25"/>
        <v>1543732199206721.2</v>
      </c>
      <c r="J61" s="272" t="str">
        <f t="shared" si="26"/>
        <v/>
      </c>
      <c r="K61" s="272">
        <f t="shared" si="27"/>
        <v>1543732199206721.2</v>
      </c>
      <c r="L61" s="274">
        <f t="shared" si="36"/>
        <v>-4.8744587173436621E+17</v>
      </c>
      <c r="M61" s="223" t="str">
        <f t="shared" si="28"/>
        <v/>
      </c>
      <c r="N61" s="223" t="str">
        <f t="shared" si="29"/>
        <v/>
      </c>
      <c r="O61" s="274">
        <f t="shared" si="30"/>
        <v>1543732199206721.2</v>
      </c>
      <c r="P61" s="272">
        <f t="shared" si="37"/>
        <v>2.8234319573068519E-4</v>
      </c>
      <c r="Q61" s="274" t="str">
        <f t="shared" si="38"/>
        <v/>
      </c>
      <c r="R61" s="275" t="str">
        <f t="shared" si="39"/>
        <v/>
      </c>
      <c r="S61" s="276">
        <f>IF(AND(E61&gt;0.95*BiasLight,E61&lt;1.05*BiasLight),"",IF(AugerModel="Sinton",calclifetimeauger(Auger_Coefficient,I61,P61),calclifetimerichter(SampleType,I61,SampleDoping,P61)))</f>
        <v>3537.8329508269521</v>
      </c>
      <c r="T61" s="278" t="str">
        <f t="shared" si="40"/>
        <v/>
      </c>
      <c r="U61" s="276">
        <f t="shared" si="31"/>
        <v>3531.023870008793</v>
      </c>
      <c r="V61" s="275" t="str">
        <f>IF(AugerModel="Sinton","",IF(SampleType="n-type",n_intr_boltzmann(SampleDoping,0,K61,298.15),n_intr_boltzmann(0,SampleDoping,K61,298.15)))</f>
        <v/>
      </c>
      <c r="W61" s="275" t="str">
        <f t="shared" si="15"/>
        <v/>
      </c>
      <c r="X61" s="270">
        <f>IF(AND(A61&gt;TimeofMaxCD,I61&gt;Traps),IF(AugerModel="Sinton",CalcImpliedV(SampleDoping,O61),CalcImpliedVRichter(O61,SampleDoping,V61)),"")</f>
        <v>0.62336143854597148</v>
      </c>
      <c r="Y61" s="277">
        <f t="shared" si="32"/>
        <v>2.3050139171091684</v>
      </c>
      <c r="Z61" s="279">
        <f t="shared" si="33"/>
        <v>-2.8472337344208953E-2</v>
      </c>
      <c r="AA61" s="279">
        <f t="shared" si="34"/>
        <v>-4.5675487098820897E-2</v>
      </c>
      <c r="AB61" s="226" t="str">
        <f t="shared" si="35"/>
        <v/>
      </c>
    </row>
    <row r="62" spans="1:28">
      <c r="A62" s="268">
        <v>5.3499000000000003E-3</v>
      </c>
      <c r="B62" s="268">
        <v>1.0517000000000001</v>
      </c>
      <c r="C62" s="269">
        <v>1.7036699999999998E-2</v>
      </c>
      <c r="D62" s="270">
        <f>IF(CouplingMode="AC",B62-(A$11-A$10)*SUM(B$9:B62)/0.21,B62)</f>
        <v>1.0517000000000001</v>
      </c>
      <c r="E62" s="271">
        <f t="shared" si="21"/>
        <v>2.0256106911287488</v>
      </c>
      <c r="F62" s="271">
        <f t="shared" si="22"/>
        <v>2.0256106911287488</v>
      </c>
      <c r="G62" s="272">
        <f t="shared" si="23"/>
        <v>3.3633735570552256E+17</v>
      </c>
      <c r="H62" s="273">
        <f t="shared" si="24"/>
        <v>2.9354566269559314E-2</v>
      </c>
      <c r="I62" s="272">
        <f t="shared" si="25"/>
        <v>1496477716623886.7</v>
      </c>
      <c r="J62" s="272" t="str">
        <f t="shared" si="26"/>
        <v/>
      </c>
      <c r="K62" s="272">
        <f t="shared" si="27"/>
        <v>1496477716623886.7</v>
      </c>
      <c r="L62" s="274">
        <f t="shared" si="36"/>
        <v>-4.7050052360638451E+17</v>
      </c>
      <c r="M62" s="223" t="str">
        <f t="shared" si="28"/>
        <v/>
      </c>
      <c r="N62" s="223" t="str">
        <f t="shared" si="29"/>
        <v/>
      </c>
      <c r="O62" s="274">
        <f t="shared" si="30"/>
        <v>1496477716623886.7</v>
      </c>
      <c r="P62" s="272">
        <f t="shared" si="37"/>
        <v>2.8367525526285485E-4</v>
      </c>
      <c r="Q62" s="274" t="str">
        <f t="shared" si="38"/>
        <v/>
      </c>
      <c r="R62" s="275" t="str">
        <f t="shared" si="39"/>
        <v/>
      </c>
      <c r="S62" s="276">
        <f>IF(AND(E62&gt;0.95*BiasLight,E62&lt;1.05*BiasLight),"",IF(AugerModel="Sinton",calclifetimeauger(Auger_Coefficient,I62,P62),calclifetimerichter(SampleType,I62,SampleDoping,P62)))</f>
        <v>3521.4401837524711</v>
      </c>
      <c r="T62" s="278" t="str">
        <f t="shared" si="40"/>
        <v/>
      </c>
      <c r="U62" s="276">
        <f t="shared" si="31"/>
        <v>3462.843699301201</v>
      </c>
      <c r="V62" s="275" t="str">
        <f>IF(AugerModel="Sinton","",IF(SampleType="n-type",n_intr_boltzmann(SampleDoping,0,K62,298.15),n_intr_boltzmann(0,SampleDoping,K62,298.15)))</f>
        <v/>
      </c>
      <c r="W62" s="275" t="str">
        <f t="shared" si="15"/>
        <v/>
      </c>
      <c r="X62" s="270">
        <f>IF(AND(A62&gt;TimeofMaxCD,I62&gt;Traps),IF(AugerModel="Sinton",CalcImpliedV(SampleDoping,O62),CalcImpliedVRichter(O62,SampleDoping,V62)),"")</f>
        <v>0.62181841739310928</v>
      </c>
      <c r="Y62" s="277">
        <f t="shared" si="32"/>
        <v>2.2239638066070193</v>
      </c>
      <c r="Z62" s="279">
        <f t="shared" si="33"/>
        <v>-2.6637913300978786E-2</v>
      </c>
      <c r="AA62" s="279">
        <f t="shared" si="34"/>
        <v>-4.2838733231245679E-2</v>
      </c>
      <c r="AB62" s="226" t="str">
        <f t="shared" si="35"/>
        <v/>
      </c>
    </row>
    <row r="63" spans="1:28">
      <c r="A63" s="268">
        <v>5.4498999999999997E-3</v>
      </c>
      <c r="B63" s="268">
        <v>1.01989</v>
      </c>
      <c r="C63" s="269">
        <v>1.61437E-2</v>
      </c>
      <c r="D63" s="270">
        <f>IF(CouplingMode="AC",B63-(A$11-A$10)*SUM(B$9:B63)/0.21,B63)</f>
        <v>1.01989</v>
      </c>
      <c r="E63" s="271">
        <f t="shared" si="21"/>
        <v>1.9194357659860881</v>
      </c>
      <c r="F63" s="271">
        <f t="shared" si="22"/>
        <v>1.9194357659860881</v>
      </c>
      <c r="G63" s="272">
        <f t="shared" si="23"/>
        <v>3.1870781133102336E+17</v>
      </c>
      <c r="H63" s="273">
        <f t="shared" si="24"/>
        <v>2.8460257585170724E-2</v>
      </c>
      <c r="I63" s="272">
        <f t="shared" si="25"/>
        <v>1449931398779417.8</v>
      </c>
      <c r="J63" s="272" t="str">
        <f t="shared" si="26"/>
        <v/>
      </c>
      <c r="K63" s="272">
        <f t="shared" si="27"/>
        <v>1449931398779417.8</v>
      </c>
      <c r="L63" s="274">
        <f t="shared" si="36"/>
        <v>-4.5888518568307674E+17</v>
      </c>
      <c r="M63" s="223" t="str">
        <f t="shared" si="28"/>
        <v/>
      </c>
      <c r="N63" s="223" t="str">
        <f t="shared" si="29"/>
        <v/>
      </c>
      <c r="O63" s="274">
        <f t="shared" si="30"/>
        <v>1449931398779417.8</v>
      </c>
      <c r="P63" s="272">
        <f t="shared" si="37"/>
        <v>2.8930041102904244E-4</v>
      </c>
      <c r="Q63" s="274" t="str">
        <f t="shared" si="38"/>
        <v/>
      </c>
      <c r="R63" s="275" t="str">
        <f t="shared" si="39"/>
        <v/>
      </c>
      <c r="S63" s="276">
        <f>IF(AND(E63&gt;0.95*BiasLight,E63&lt;1.05*BiasLight),"",IF(AugerModel="Sinton",calclifetimeauger(Auger_Coefficient,I63,P63),calclifetimerichter(SampleType,I63,SampleDoping,P63)))</f>
        <v>3453.1246953820719</v>
      </c>
      <c r="T63" s="278" t="str">
        <f t="shared" si="40"/>
        <v/>
      </c>
      <c r="U63" s="276">
        <f t="shared" si="31"/>
        <v>3395.6852897073027</v>
      </c>
      <c r="V63" s="275" t="str">
        <f>IF(AugerModel="Sinton","",IF(SampleType="n-type",n_intr_boltzmann(SampleDoping,0,K63,298.15),n_intr_boltzmann(0,SampleDoping,K63,298.15)))</f>
        <v/>
      </c>
      <c r="W63" s="275" t="str">
        <f t="shared" si="15"/>
        <v/>
      </c>
      <c r="X63" s="270">
        <f>IF(AND(A63&gt;TimeofMaxCD,I63&gt;Traps),IF(AugerModel="Sinton",CalcImpliedV(SampleDoping,O63),CalcImpliedVRichter(O63,SampleDoping,V63)),"")</f>
        <v>0.62025176408934179</v>
      </c>
      <c r="Y63" s="277">
        <f t="shared" si="32"/>
        <v>2.1128920995293221</v>
      </c>
      <c r="Z63" s="279">
        <f t="shared" si="33"/>
        <v>-2.415956507909537E-2</v>
      </c>
      <c r="AA63" s="279">
        <f t="shared" si="34"/>
        <v>-3.8951223483526275E-2</v>
      </c>
      <c r="AB63" s="226" t="str">
        <f t="shared" si="35"/>
        <v/>
      </c>
    </row>
    <row r="64" spans="1:28">
      <c r="A64" s="268">
        <v>5.5499E-3</v>
      </c>
      <c r="B64" s="268">
        <v>0.98896799999999996</v>
      </c>
      <c r="C64" s="269">
        <v>1.49996E-2</v>
      </c>
      <c r="D64" s="270">
        <f>IF(CouplingMode="AC",B64-(A$11-A$10)*SUM(B$9:B64)/0.21,B64)</f>
        <v>0.98896799999999996</v>
      </c>
      <c r="E64" s="271">
        <f t="shared" si="21"/>
        <v>1.7834058310972656</v>
      </c>
      <c r="F64" s="271">
        <f t="shared" si="22"/>
        <v>1.7834058310972656</v>
      </c>
      <c r="G64" s="272">
        <f t="shared" si="23"/>
        <v>2.9612106808481434E+17</v>
      </c>
      <c r="H64" s="273">
        <f t="shared" si="24"/>
        <v>2.7591299411624484E-2</v>
      </c>
      <c r="I64" s="272">
        <f t="shared" si="25"/>
        <v>1404758742900291.5</v>
      </c>
      <c r="J64" s="272" t="str">
        <f t="shared" si="26"/>
        <v/>
      </c>
      <c r="K64" s="272">
        <f t="shared" si="27"/>
        <v>1404758742900291.5</v>
      </c>
      <c r="L64" s="274">
        <f t="shared" si="36"/>
        <v>-4.4605867247540813E+17</v>
      </c>
      <c r="M64" s="223" t="str">
        <f t="shared" si="28"/>
        <v/>
      </c>
      <c r="N64" s="223" t="str">
        <f t="shared" si="29"/>
        <v/>
      </c>
      <c r="O64" s="274">
        <f t="shared" si="30"/>
        <v>1404758742900291.5</v>
      </c>
      <c r="P64" s="272">
        <f t="shared" si="37"/>
        <v>3.0039578849918886E-4</v>
      </c>
      <c r="Q64" s="274" t="str">
        <f t="shared" si="38"/>
        <v/>
      </c>
      <c r="R64" s="275" t="str">
        <f t="shared" si="39"/>
        <v/>
      </c>
      <c r="S64" s="276">
        <f>IF(AND(E64&gt;0.95*BiasLight,E64&lt;1.05*BiasLight),"",IF(AugerModel="Sinton",calclifetimeauger(Auger_Coefficient,I64,P64),calclifetimerichter(SampleType,I64,SampleDoping,P64)))</f>
        <v>3325.6657212670284</v>
      </c>
      <c r="T64" s="278" t="str">
        <f t="shared" si="40"/>
        <v/>
      </c>
      <c r="U64" s="276">
        <f t="shared" si="31"/>
        <v>3330.5088403883356</v>
      </c>
      <c r="V64" s="275" t="str">
        <f>IF(AugerModel="Sinton","",IF(SampleType="n-type",n_intr_boltzmann(SampleDoping,0,K64,298.15),n_intr_boltzmann(0,SampleDoping,K64,298.15)))</f>
        <v/>
      </c>
      <c r="W64" s="275" t="str">
        <f t="shared" si="15"/>
        <v/>
      </c>
      <c r="X64" s="270">
        <f>IF(AND(A64&gt;TimeofMaxCD,I64&gt;Traps),IF(AugerModel="Sinton",CalcImpliedV(SampleDoping,O64),CalcImpliedVRichter(O64,SampleDoping,V64)),"")</f>
        <v>0.61868419270928499</v>
      </c>
      <c r="Y64" s="277">
        <f t="shared" si="32"/>
        <v>1.9714547767040036</v>
      </c>
      <c r="Z64" s="279">
        <f t="shared" si="33"/>
        <v>-2.1035829999754334E-2</v>
      </c>
      <c r="AA64" s="279">
        <f t="shared" si="34"/>
        <v>-3.4000917184640128E-2</v>
      </c>
      <c r="AB64" s="226" t="str">
        <f t="shared" si="35"/>
        <v/>
      </c>
    </row>
    <row r="65" spans="1:28">
      <c r="A65" s="268">
        <v>5.6499000000000002E-3</v>
      </c>
      <c r="B65" s="268">
        <v>0.95838199999999996</v>
      </c>
      <c r="C65" s="269">
        <v>1.4630499999999999E-2</v>
      </c>
      <c r="D65" s="270">
        <f>IF(CouplingMode="AC",B65-(A$11-A$10)*SUM(B$9:B65)/0.21,B65)</f>
        <v>0.95838199999999996</v>
      </c>
      <c r="E65" s="271">
        <f t="shared" si="21"/>
        <v>1.7395209880175835</v>
      </c>
      <c r="F65" s="271">
        <f t="shared" si="22"/>
        <v>1.7395209880175835</v>
      </c>
      <c r="G65" s="272">
        <f t="shared" si="23"/>
        <v>2.8883432135622797E+17</v>
      </c>
      <c r="H65" s="273">
        <f t="shared" si="24"/>
        <v>2.673215697429342E-2</v>
      </c>
      <c r="I65" s="272">
        <f t="shared" si="25"/>
        <v>1360149093226980.5</v>
      </c>
      <c r="J65" s="272" t="str">
        <f t="shared" si="26"/>
        <v/>
      </c>
      <c r="K65" s="272">
        <f t="shared" si="27"/>
        <v>1360149093226980.5</v>
      </c>
      <c r="L65" s="274">
        <f t="shared" si="36"/>
        <v>-4.3354848408381606E+17</v>
      </c>
      <c r="M65" s="223" t="str">
        <f t="shared" si="28"/>
        <v/>
      </c>
      <c r="N65" s="223" t="str">
        <f t="shared" si="29"/>
        <v/>
      </c>
      <c r="O65" s="274">
        <f t="shared" si="30"/>
        <v>1360149093226980.5</v>
      </c>
      <c r="P65" s="272">
        <f t="shared" si="37"/>
        <v>2.9829446263615188E-4</v>
      </c>
      <c r="Q65" s="274" t="str">
        <f t="shared" si="38"/>
        <v/>
      </c>
      <c r="R65" s="275" t="str">
        <f t="shared" si="39"/>
        <v/>
      </c>
      <c r="S65" s="276">
        <f>IF(AND(E65&gt;0.95*BiasLight,E65&lt;1.05*BiasLight),"",IF(AugerModel="Sinton",calclifetimeauger(Auger_Coefficient,I65,P65),calclifetimerichter(SampleType,I65,SampleDoping,P65)))</f>
        <v>3349.3210907264702</v>
      </c>
      <c r="T65" s="278" t="str">
        <f t="shared" si="40"/>
        <v/>
      </c>
      <c r="U65" s="276">
        <f t="shared" si="31"/>
        <v>3266.144713141769</v>
      </c>
      <c r="V65" s="275" t="str">
        <f>IF(AugerModel="Sinton","",IF(SampleType="n-type",n_intr_boltzmann(SampleDoping,0,K65,298.15),n_intr_boltzmann(0,SampleDoping,K65,298.15)))</f>
        <v/>
      </c>
      <c r="W65" s="275" t="str">
        <f t="shared" si="15"/>
        <v/>
      </c>
      <c r="X65" s="270">
        <f>IF(AND(A65&gt;TimeofMaxCD,I65&gt;Traps),IF(AugerModel="Sinton",CalcImpliedV(SampleDoping,O65),CalcImpliedVRichter(O65,SampleDoping,V65)),"")</f>
        <v>0.61708768310119377</v>
      </c>
      <c r="Y65" s="277">
        <f t="shared" si="32"/>
        <v>1.9222959015708134</v>
      </c>
      <c r="Z65" s="279">
        <f t="shared" si="33"/>
        <v>-1.9919810436192099E-2</v>
      </c>
      <c r="AA65" s="279">
        <f t="shared" si="34"/>
        <v>-3.2280356554978476E-2</v>
      </c>
      <c r="AB65" s="226" t="str">
        <f t="shared" si="35"/>
        <v/>
      </c>
    </row>
    <row r="66" spans="1:28">
      <c r="A66" s="268">
        <v>5.7498999999999996E-3</v>
      </c>
      <c r="B66" s="268">
        <v>0.92967100000000003</v>
      </c>
      <c r="C66" s="269">
        <v>1.37003E-2</v>
      </c>
      <c r="D66" s="270">
        <f>IF(CouplingMode="AC",B66-(A$11-A$10)*SUM(B$9:B66)/0.21,B66)</f>
        <v>0.92967100000000003</v>
      </c>
      <c r="E66" s="271">
        <f t="shared" si="21"/>
        <v>1.6289230984680838</v>
      </c>
      <c r="F66" s="271">
        <f t="shared" si="22"/>
        <v>1.6289230984680838</v>
      </c>
      <c r="G66" s="272">
        <f t="shared" si="23"/>
        <v>2.7047037714888278E+17</v>
      </c>
      <c r="H66" s="273">
        <f t="shared" si="24"/>
        <v>2.5926020249815097E-2</v>
      </c>
      <c r="I66" s="272">
        <f t="shared" si="25"/>
        <v>1318339533162401.5</v>
      </c>
      <c r="J66" s="272" t="str">
        <f t="shared" si="26"/>
        <v/>
      </c>
      <c r="K66" s="272">
        <f t="shared" si="27"/>
        <v>1318339533162401.5</v>
      </c>
      <c r="L66" s="274">
        <f t="shared" si="36"/>
        <v>-4.2050413322691923E+17</v>
      </c>
      <c r="M66" s="223" t="str">
        <f t="shared" si="28"/>
        <v/>
      </c>
      <c r="N66" s="223" t="str">
        <f t="shared" si="29"/>
        <v/>
      </c>
      <c r="O66" s="274">
        <f t="shared" si="30"/>
        <v>1318339533162401.5</v>
      </c>
      <c r="P66" s="272">
        <f t="shared" si="37"/>
        <v>3.0770931541946212E-4</v>
      </c>
      <c r="Q66" s="274" t="str">
        <f t="shared" si="38"/>
        <v/>
      </c>
      <c r="R66" s="275" t="str">
        <f t="shared" si="39"/>
        <v/>
      </c>
      <c r="S66" s="276">
        <f>IF(AND(E66&gt;0.95*BiasLight,E66&lt;1.05*BiasLight),"",IF(AugerModel="Sinton",calclifetimeauger(Auger_Coefficient,I66,P66),calclifetimerichter(SampleType,I66,SampleDoping,P66)))</f>
        <v>3246.9352540642317</v>
      </c>
      <c r="T66" s="278" t="str">
        <f t="shared" si="40"/>
        <v/>
      </c>
      <c r="U66" s="276">
        <f t="shared" si="31"/>
        <v>3205.8206383322431</v>
      </c>
      <c r="V66" s="275" t="str">
        <f>IF(AugerModel="Sinton","",IF(SampleType="n-type",n_intr_boltzmann(SampleDoping,0,K66,298.15),n_intr_boltzmann(0,SampleDoping,K66,298.15)))</f>
        <v/>
      </c>
      <c r="W66" s="275" t="str">
        <f t="shared" si="15"/>
        <v/>
      </c>
      <c r="X66" s="270">
        <f>IF(AND(A66&gt;TimeofMaxCD,I66&gt;Traps),IF(AugerModel="Sinton",CalcImpliedV(SampleDoping,O66),CalcImpliedVRichter(O66,SampleDoping,V66)),"")</f>
        <v>0.61554489080001384</v>
      </c>
      <c r="Y66" s="277">
        <f t="shared" si="32"/>
        <v>1.8061987883179582</v>
      </c>
      <c r="Z66" s="279">
        <f t="shared" si="33"/>
        <v>-1.7368804079139839E-2</v>
      </c>
      <c r="AA66" s="279">
        <f t="shared" si="34"/>
        <v>-2.8216957591128539E-2</v>
      </c>
      <c r="AB66" s="226" t="str">
        <f t="shared" si="35"/>
        <v/>
      </c>
    </row>
    <row r="67" spans="1:28">
      <c r="A67" s="268">
        <v>5.8498999999999999E-3</v>
      </c>
      <c r="B67" s="268">
        <v>0.90080400000000005</v>
      </c>
      <c r="C67" s="269">
        <v>1.27262E-2</v>
      </c>
      <c r="D67" s="270">
        <f>IF(CouplingMode="AC",B67-(A$11-A$10)*SUM(B$9:B67)/0.21,B67)</f>
        <v>0.90080400000000005</v>
      </c>
      <c r="E67" s="271">
        <f t="shared" si="21"/>
        <v>1.5131056353309436</v>
      </c>
      <c r="F67" s="271">
        <f t="shared" si="22"/>
        <v>1.5131056353309436</v>
      </c>
      <c r="G67" s="272">
        <f t="shared" si="23"/>
        <v>2.5123976217105555E+17</v>
      </c>
      <c r="H67" s="273">
        <f t="shared" si="24"/>
        <v>2.5115833483260921E-2</v>
      </c>
      <c r="I67" s="272">
        <f t="shared" si="25"/>
        <v>1276366761606454.7</v>
      </c>
      <c r="J67" s="272">
        <f t="shared" si="26"/>
        <v>1276366761606454.7</v>
      </c>
      <c r="K67" s="272">
        <f t="shared" si="27"/>
        <v>1276366761606454.7</v>
      </c>
      <c r="L67" s="274">
        <f t="shared" si="36"/>
        <v>-4.0564034819496736E+17</v>
      </c>
      <c r="M67" s="223" t="str">
        <f t="shared" si="28"/>
        <v/>
      </c>
      <c r="N67" s="223" t="str">
        <f t="shared" si="29"/>
        <v/>
      </c>
      <c r="O67" s="274">
        <f t="shared" si="30"/>
        <v>1276366761606454.7</v>
      </c>
      <c r="P67" s="272">
        <f t="shared" si="37"/>
        <v>3.1950866456273913E-4</v>
      </c>
      <c r="Q67" s="274">
        <f t="shared" si="38"/>
        <v>3.1950866456273913E-4</v>
      </c>
      <c r="R67" s="275">
        <f t="shared" si="39"/>
        <v>3129.8055762229219</v>
      </c>
      <c r="S67" s="276">
        <f>IF(AND(E67&gt;0.95*BiasLight,E67&lt;1.05*BiasLight),"",IF(AugerModel="Sinton",calclifetimeauger(Auger_Coefficient,I67,P67),calclifetimerichter(SampleType,I67,SampleDoping,P67)))</f>
        <v>3127.1012501200998</v>
      </c>
      <c r="T67" s="278">
        <f t="shared" si="40"/>
        <v>3127.1012501200998</v>
      </c>
      <c r="U67" s="276">
        <f t="shared" si="31"/>
        <v>3145.2610771363552</v>
      </c>
      <c r="V67" s="275" t="str">
        <f>IF(AugerModel="Sinton","",IF(SampleType="n-type",n_intr_boltzmann(SampleDoping,0,K67,298.15),n_intr_boltzmann(0,SampleDoping,K67,298.15)))</f>
        <v/>
      </c>
      <c r="W67" s="275" t="str">
        <f t="shared" si="15"/>
        <v/>
      </c>
      <c r="X67" s="270">
        <f>IF(AND(A67&gt;TimeofMaxCD,I67&gt;Traps),IF(AugerModel="Sinton",CalcImpliedV(SampleDoping,O67),CalcImpliedVRichter(O67,SampleDoping,V67)),"")</f>
        <v>0.61394794767680716</v>
      </c>
      <c r="Y67" s="277">
        <f t="shared" si="32"/>
        <v>1.6841150663331379</v>
      </c>
      <c r="Z67" s="279">
        <f t="shared" si="33"/>
        <v>-1.4700386433250449E-2</v>
      </c>
      <c r="AA67" s="279">
        <f t="shared" si="34"/>
        <v>-2.394402732165983E-2</v>
      </c>
      <c r="AB67" s="226" t="str">
        <f t="shared" si="35"/>
        <v/>
      </c>
    </row>
    <row r="68" spans="1:28">
      <c r="A68" s="268">
        <v>5.9499000000000002E-3</v>
      </c>
      <c r="B68" s="268">
        <v>0.87327399999999999</v>
      </c>
      <c r="C68" s="269">
        <v>1.24098E-2</v>
      </c>
      <c r="D68" s="270">
        <f>IF(CouplingMode="AC",B68-(A$11-A$10)*SUM(B$9:B68)/0.21,B68)</f>
        <v>0.87327399999999999</v>
      </c>
      <c r="E68" s="271">
        <f t="shared" si="21"/>
        <v>1.475486658494283</v>
      </c>
      <c r="F68" s="271">
        <f t="shared" si="22"/>
        <v>1.475486658494283</v>
      </c>
      <c r="G68" s="272">
        <f t="shared" si="23"/>
        <v>2.4499341520566746E+17</v>
      </c>
      <c r="H68" s="273">
        <f t="shared" si="24"/>
        <v>2.4343479539191918E-2</v>
      </c>
      <c r="I68" s="272">
        <f t="shared" si="25"/>
        <v>1236397842097094.7</v>
      </c>
      <c r="J68" s="272">
        <f t="shared" si="26"/>
        <v>1236397842097094.7</v>
      </c>
      <c r="K68" s="272">
        <f t="shared" si="27"/>
        <v>1236397842097094.7</v>
      </c>
      <c r="L68" s="274">
        <f t="shared" si="36"/>
        <v>-3.9530927816468147E+17</v>
      </c>
      <c r="M68" s="223" t="str">
        <f t="shared" si="28"/>
        <v/>
      </c>
      <c r="N68" s="223" t="str">
        <f t="shared" si="29"/>
        <v/>
      </c>
      <c r="O68" s="274">
        <f t="shared" si="30"/>
        <v>1236397842097094.7</v>
      </c>
      <c r="P68" s="272">
        <f t="shared" si="37"/>
        <v>3.1741451384415372E-4</v>
      </c>
      <c r="Q68" s="274">
        <f t="shared" si="38"/>
        <v>3.1741451384415372E-4</v>
      </c>
      <c r="R68" s="275">
        <f t="shared" si="39"/>
        <v>3150.4545519647745</v>
      </c>
      <c r="S68" s="276">
        <f>IF(AND(E68&gt;0.95*BiasLight,E68&lt;1.05*BiasLight),"",IF(AugerModel="Sinton",calclifetimeauger(Auger_Coefficient,I68,P68),calclifetimerichter(SampleType,I68,SampleDoping,P68)))</f>
        <v>3147.91694378903</v>
      </c>
      <c r="T68" s="278">
        <f t="shared" si="40"/>
        <v>3147.91694378903</v>
      </c>
      <c r="U68" s="276">
        <f t="shared" si="31"/>
        <v>3087.5927331783137</v>
      </c>
      <c r="V68" s="275" t="str">
        <f>IF(AugerModel="Sinton","",IF(SampleType="n-type",n_intr_boltzmann(SampleDoping,0,K68,298.15),n_intr_boltzmann(0,SampleDoping,K68,298.15)))</f>
        <v/>
      </c>
      <c r="W68" s="275" t="str">
        <f t="shared" si="15"/>
        <v/>
      </c>
      <c r="X68" s="270">
        <f>IF(AND(A68&gt;TimeofMaxCD,I68&gt;Traps),IF(AugerModel="Sinton",CalcImpliedV(SampleDoping,O68),CalcImpliedVRichter(O68,SampleDoping,V68)),"")</f>
        <v>0.6123795884685197</v>
      </c>
      <c r="Y68" s="277">
        <f t="shared" si="32"/>
        <v>1.6421407278679201</v>
      </c>
      <c r="Z68" s="279">
        <f t="shared" si="33"/>
        <v>-1.3763185613472142E-2</v>
      </c>
      <c r="AA68" s="279">
        <f t="shared" si="34"/>
        <v>-2.2474925475377206E-2</v>
      </c>
      <c r="AB68" s="226" t="str">
        <f t="shared" si="35"/>
        <v/>
      </c>
    </row>
    <row r="69" spans="1:28">
      <c r="A69" s="268">
        <v>6.0499000000000004E-3</v>
      </c>
      <c r="B69" s="268">
        <v>0.84699500000000005</v>
      </c>
      <c r="C69" s="269">
        <v>1.1464999999999999E-2</v>
      </c>
      <c r="D69" s="270">
        <f>IF(CouplingMode="AC",B69-(A$11-A$10)*SUM(B$9:B69)/0.21,B69)</f>
        <v>0.84699500000000005</v>
      </c>
      <c r="E69" s="271">
        <f t="shared" si="21"/>
        <v>1.3631528743119916</v>
      </c>
      <c r="F69" s="271">
        <f t="shared" si="22"/>
        <v>1.3631528743119916</v>
      </c>
      <c r="G69" s="272">
        <f t="shared" si="23"/>
        <v>2.2634123880586125E+17</v>
      </c>
      <c r="H69" s="273">
        <f t="shared" si="24"/>
        <v>2.360650319808796E-2</v>
      </c>
      <c r="I69" s="272">
        <f t="shared" si="25"/>
        <v>1198299764662150</v>
      </c>
      <c r="J69" s="272">
        <f t="shared" si="26"/>
        <v>1198299764662150</v>
      </c>
      <c r="K69" s="272">
        <f t="shared" si="27"/>
        <v>1198299764662150</v>
      </c>
      <c r="L69" s="274">
        <f t="shared" si="36"/>
        <v>-3.8127610229538349E+17</v>
      </c>
      <c r="M69" s="223" t="str">
        <f t="shared" si="28"/>
        <v/>
      </c>
      <c r="N69" s="223" t="str">
        <f t="shared" si="29"/>
        <v/>
      </c>
      <c r="O69" s="274">
        <f t="shared" si="30"/>
        <v>1198299764662150</v>
      </c>
      <c r="P69" s="272">
        <f t="shared" si="37"/>
        <v>3.3150533891404766E-4</v>
      </c>
      <c r="Q69" s="274">
        <f t="shared" si="38"/>
        <v>3.3150533891404766E-4</v>
      </c>
      <c r="R69" s="275">
        <f t="shared" si="39"/>
        <v>3016.5426694961279</v>
      </c>
      <c r="S69" s="276">
        <f>IF(AND(E69&gt;0.95*BiasLight,E69&lt;1.05*BiasLight),"",IF(AugerModel="Sinton",calclifetimeauger(Auger_Coefficient,I69,P69),calclifetimerichter(SampleType,I69,SampleDoping,P69)))</f>
        <v>3014.1590384349856</v>
      </c>
      <c r="T69" s="278">
        <f t="shared" si="40"/>
        <v>3014.1590384349856</v>
      </c>
      <c r="U69" s="276">
        <f t="shared" si="31"/>
        <v>3032.6236957204965</v>
      </c>
      <c r="V69" s="275" t="str">
        <f>IF(AugerModel="Sinton","",IF(SampleType="n-type",n_intr_boltzmann(SampleDoping,0,K69,298.15),n_intr_boltzmann(0,SampleDoping,K69,298.15)))</f>
        <v/>
      </c>
      <c r="W69" s="275" t="str">
        <f t="shared" si="15"/>
        <v/>
      </c>
      <c r="X69" s="270">
        <f>IF(AND(A69&gt;TimeofMaxCD,I69&gt;Traps),IF(AugerModel="Sinton",CalcImpliedV(SampleDoping,O69),CalcImpliedVRichter(O69,SampleDoping,V69)),"")</f>
        <v>0.61083862653100152</v>
      </c>
      <c r="Y69" s="277">
        <f t="shared" si="32"/>
        <v>1.5238908521744139</v>
      </c>
      <c r="Z69" s="279">
        <f t="shared" si="33"/>
        <v>-1.1200446900803122E-2</v>
      </c>
      <c r="AA69" s="279">
        <f t="shared" si="34"/>
        <v>-1.8336179826104488E-2</v>
      </c>
      <c r="AB69" s="226" t="str">
        <f t="shared" si="35"/>
        <v/>
      </c>
    </row>
    <row r="70" spans="1:28">
      <c r="A70" s="268">
        <v>6.1498999999999998E-3</v>
      </c>
      <c r="B70" s="268">
        <v>0.82034499999999999</v>
      </c>
      <c r="C70" s="269">
        <v>1.09581E-2</v>
      </c>
      <c r="D70" s="270">
        <f>IF(CouplingMode="AC",B70-(A$11-A$10)*SUM(B$9:B70)/0.21,B70)</f>
        <v>0.82034499999999999</v>
      </c>
      <c r="E70" s="271">
        <f t="shared" si="21"/>
        <v>1.3028840394241812</v>
      </c>
      <c r="F70" s="271">
        <f t="shared" si="22"/>
        <v>1.3028840394241812</v>
      </c>
      <c r="G70" s="272">
        <f t="shared" si="23"/>
        <v>2.1633405398678659E+17</v>
      </c>
      <c r="H70" s="273">
        <f t="shared" si="24"/>
        <v>2.2859402533613158E-2</v>
      </c>
      <c r="I70" s="272">
        <f t="shared" si="25"/>
        <v>1159718392552213</v>
      </c>
      <c r="J70" s="272">
        <f t="shared" si="26"/>
        <v>1159718392552213</v>
      </c>
      <c r="K70" s="272">
        <f t="shared" si="27"/>
        <v>1159718392552213</v>
      </c>
      <c r="L70" s="274">
        <f t="shared" si="36"/>
        <v>-3.6927608029266387E+17</v>
      </c>
      <c r="M70" s="223" t="str">
        <f t="shared" si="28"/>
        <v/>
      </c>
      <c r="N70" s="223" t="str">
        <f t="shared" si="29"/>
        <v/>
      </c>
      <c r="O70" s="274">
        <f t="shared" si="30"/>
        <v>1159718392552213</v>
      </c>
      <c r="P70" s="272">
        <f t="shared" si="37"/>
        <v>3.3520172858392543E-4</v>
      </c>
      <c r="Q70" s="274">
        <f t="shared" si="38"/>
        <v>3.3520172858392543E-4</v>
      </c>
      <c r="R70" s="275">
        <f t="shared" si="39"/>
        <v>2983.2781716984109</v>
      </c>
      <c r="S70" s="276">
        <f>IF(AND(E70&gt;0.95*BiasLight,E70&lt;1.05*BiasLight),"",IF(AugerModel="Sinton",calclifetimeauger(Auger_Coefficient,I70,P70),calclifetimerichter(SampleType,I70,SampleDoping,P70)))</f>
        <v>2981.0455600933715</v>
      </c>
      <c r="T70" s="278">
        <f t="shared" si="40"/>
        <v>2981.0455600933715</v>
      </c>
      <c r="U70" s="276">
        <f t="shared" si="31"/>
        <v>2976.9573463540096</v>
      </c>
      <c r="V70" s="275" t="str">
        <f>IF(AugerModel="Sinton","",IF(SampleType="n-type",n_intr_boltzmann(SampleDoping,0,K70,298.15),n_intr_boltzmann(0,SampleDoping,K70,298.15)))</f>
        <v/>
      </c>
      <c r="W70" s="275" t="str">
        <f t="shared" si="15"/>
        <v/>
      </c>
      <c r="X70" s="270">
        <f>IF(AND(A70&gt;TimeofMaxCD,I70&gt;Traps),IF(AugerModel="Sinton",CalcImpliedV(SampleDoping,O70),CalcImpliedVRichter(O70,SampleDoping,V70)),"")</f>
        <v>0.60922944677503121</v>
      </c>
      <c r="Y70" s="277">
        <f t="shared" si="32"/>
        <v>1.4585630606422988</v>
      </c>
      <c r="Z70" s="279">
        <f t="shared" si="33"/>
        <v>-9.7779541911300477E-3</v>
      </c>
      <c r="AA70" s="279">
        <f t="shared" si="34"/>
        <v>-1.604970712248046E-2</v>
      </c>
      <c r="AB70" s="226" t="str">
        <f t="shared" si="35"/>
        <v/>
      </c>
    </row>
    <row r="71" spans="1:28">
      <c r="A71" s="268">
        <v>6.2499000000000001E-3</v>
      </c>
      <c r="B71" s="268">
        <v>0.795686</v>
      </c>
      <c r="C71" s="269">
        <v>1.04698E-2</v>
      </c>
      <c r="D71" s="270">
        <f>IF(CouplingMode="AC",B71-(A$11-A$10)*SUM(B$9:B71)/0.21,B71)</f>
        <v>0.795686</v>
      </c>
      <c r="E71" s="271">
        <f t="shared" si="21"/>
        <v>1.2448266867397899</v>
      </c>
      <c r="F71" s="271">
        <f t="shared" si="22"/>
        <v>1.2448266867397899</v>
      </c>
      <c r="G71" s="272">
        <f t="shared" si="23"/>
        <v>2.0669406908413488E+17</v>
      </c>
      <c r="H71" s="273">
        <f t="shared" si="24"/>
        <v>2.2168368411459378E-2</v>
      </c>
      <c r="I71" s="272">
        <f t="shared" si="25"/>
        <v>1124068435231203.9</v>
      </c>
      <c r="J71" s="272">
        <f t="shared" si="26"/>
        <v>1124068435231203.9</v>
      </c>
      <c r="K71" s="272">
        <f t="shared" si="27"/>
        <v>1124068435231203.9</v>
      </c>
      <c r="L71" s="274">
        <f t="shared" si="36"/>
        <v>-3.5871694260716045E+17</v>
      </c>
      <c r="M71" s="223" t="str">
        <f t="shared" si="28"/>
        <v/>
      </c>
      <c r="N71" s="223" t="str">
        <f t="shared" si="29"/>
        <v/>
      </c>
      <c r="O71" s="274">
        <f t="shared" si="30"/>
        <v>1124068435231203.9</v>
      </c>
      <c r="P71" s="272">
        <f t="shared" si="37"/>
        <v>3.3944497888343335E-4</v>
      </c>
      <c r="Q71" s="274">
        <f t="shared" si="38"/>
        <v>3.3944497888343335E-4</v>
      </c>
      <c r="R71" s="275">
        <f t="shared" si="39"/>
        <v>2945.9855417198664</v>
      </c>
      <c r="S71" s="276">
        <f>IF(AND(E71&gt;0.95*BiasLight,E71&lt;1.05*BiasLight),"",IF(AugerModel="Sinton",calclifetimeauger(Auger_Coefficient,I71,P71),calclifetimerichter(SampleType,I71,SampleDoping,P71)))</f>
        <v>2943.8880821737084</v>
      </c>
      <c r="T71" s="278">
        <f t="shared" si="40"/>
        <v>2943.8880821737084</v>
      </c>
      <c r="U71" s="276">
        <f t="shared" si="31"/>
        <v>2925.5205292942942</v>
      </c>
      <c r="V71" s="275" t="str">
        <f>IF(AugerModel="Sinton","",IF(SampleType="n-type",n_intr_boltzmann(SampleDoping,0,K71,298.15),n_intr_boltzmann(0,SampleDoping,K71,298.15)))</f>
        <v/>
      </c>
      <c r="W71" s="275" t="str">
        <f t="shared" si="15"/>
        <v/>
      </c>
      <c r="X71" s="270">
        <f>IF(AND(A71&gt;TimeofMaxCD,I71&gt;Traps),IF(AugerModel="Sinton",CalcImpliedV(SampleDoping,O71),CalcImpliedVRichter(O71,SampleDoping,V71)),"")</f>
        <v>0.60769625747086853</v>
      </c>
      <c r="Y71" s="277">
        <f t="shared" si="32"/>
        <v>1.3960541978073346</v>
      </c>
      <c r="Z71" s="279">
        <f t="shared" si="33"/>
        <v>-8.4238228817100514E-3</v>
      </c>
      <c r="AA71" s="279">
        <f t="shared" si="34"/>
        <v>-1.3861896923256714E-2</v>
      </c>
      <c r="AB71" s="226" t="str">
        <f t="shared" si="35"/>
        <v/>
      </c>
    </row>
    <row r="72" spans="1:28">
      <c r="A72" s="268">
        <v>6.3499000000000003E-3</v>
      </c>
      <c r="B72" s="268">
        <v>0.77131099999999997</v>
      </c>
      <c r="C72" s="269">
        <v>9.5894599999999993E-3</v>
      </c>
      <c r="D72" s="270">
        <f>IF(CouplingMode="AC",B72-(A$11-A$10)*SUM(B$9:B72)/0.21,B72)</f>
        <v>0.77131099999999997</v>
      </c>
      <c r="E72" s="271">
        <f t="shared" si="21"/>
        <v>1.1401569962581659</v>
      </c>
      <c r="F72" s="271">
        <f t="shared" si="22"/>
        <v>1.1401569962581659</v>
      </c>
      <c r="G72" s="272">
        <f t="shared" si="23"/>
        <v>1.893144575559751E+17</v>
      </c>
      <c r="H72" s="273">
        <f t="shared" si="24"/>
        <v>2.1485530342231017E-2</v>
      </c>
      <c r="I72" s="272">
        <f t="shared" si="25"/>
        <v>1088875466666235.9</v>
      </c>
      <c r="J72" s="272">
        <f t="shared" si="26"/>
        <v>1088875466666235.9</v>
      </c>
      <c r="K72" s="272">
        <f t="shared" si="27"/>
        <v>1088875466666235.9</v>
      </c>
      <c r="L72" s="274">
        <f t="shared" si="36"/>
        <v>-3.4688056315424614E+17</v>
      </c>
      <c r="M72" s="223" t="str">
        <f t="shared" si="28"/>
        <v/>
      </c>
      <c r="N72" s="223" t="str">
        <f t="shared" si="29"/>
        <v/>
      </c>
      <c r="O72" s="274">
        <f t="shared" si="30"/>
        <v>1088875466666235.9</v>
      </c>
      <c r="P72" s="272">
        <f t="shared" si="37"/>
        <v>3.5684773151508124E-4</v>
      </c>
      <c r="Q72" s="274">
        <f t="shared" si="38"/>
        <v>3.5684773151508124E-4</v>
      </c>
      <c r="R72" s="275">
        <f t="shared" si="39"/>
        <v>2802.315698503292</v>
      </c>
      <c r="S72" s="276">
        <f>IF(AND(E72&gt;0.95*BiasLight,E72&lt;1.05*BiasLight),"",IF(AugerModel="Sinton",calclifetimeauger(Auger_Coefficient,I72,P72),calclifetimerichter(SampleType,I72,SampleDoping,P72)))</f>
        <v>2800.3475198653255</v>
      </c>
      <c r="T72" s="278">
        <f t="shared" si="40"/>
        <v>2800.3475198653255</v>
      </c>
      <c r="U72" s="276">
        <f t="shared" si="31"/>
        <v>2874.7430691822228</v>
      </c>
      <c r="V72" s="275" t="str">
        <f>IF(AugerModel="Sinton","",IF(SampleType="n-type",n_intr_boltzmann(SampleDoping,0,K72,298.15),n_intr_boltzmann(0,SampleDoping,K72,298.15)))</f>
        <v/>
      </c>
      <c r="W72" s="275" t="str">
        <f t="shared" si="15"/>
        <v/>
      </c>
      <c r="X72" s="270">
        <f>IF(AND(A72&gt;TimeofMaxCD,I72&gt;Traps),IF(AugerModel="Sinton",CalcImpliedV(SampleDoping,O72),CalcImpliedVRichter(O72,SampleDoping,V72)),"")</f>
        <v>0.60613636995795139</v>
      </c>
      <c r="Y72" s="277">
        <f t="shared" si="32"/>
        <v>1.2863945389352982</v>
      </c>
      <c r="Z72" s="279">
        <f t="shared" si="33"/>
        <v>-6.0757951172107994E-3</v>
      </c>
      <c r="AA72" s="279">
        <f t="shared" si="34"/>
        <v>-1.0023808862735437E-2</v>
      </c>
      <c r="AB72" s="226" t="str">
        <f t="shared" si="35"/>
        <v/>
      </c>
    </row>
    <row r="73" spans="1:28">
      <c r="A73" s="268">
        <v>6.4498999999999997E-3</v>
      </c>
      <c r="B73" s="268">
        <v>0.74737600000000004</v>
      </c>
      <c r="C73" s="269">
        <v>9.5479599999999994E-3</v>
      </c>
      <c r="D73" s="270">
        <f>IF(CouplingMode="AC",B73-(A$11-A$10)*SUM(B$9:B73)/0.21,B73)</f>
        <v>0.74737600000000004</v>
      </c>
      <c r="E73" s="271">
        <f t="shared" ref="E73:E104" si="41">IF(C73&gt;0,C73/RefCellCal,0.00001)</f>
        <v>1.1352227752129023</v>
      </c>
      <c r="F73" s="271">
        <f t="shared" ref="F73:F104" si="42">E73-BiasLight</f>
        <v>1.1352227752129023</v>
      </c>
      <c r="G73" s="272">
        <f t="shared" ref="G73:G104" si="43">F73*0.038*OptConst/1.602E-19</f>
        <v>1.8849516741987014E+17</v>
      </c>
      <c r="H73" s="273">
        <f t="shared" ref="H73:H104" si="44">CalcConductance(B73,Dark_Voltage,A_cal,B_cal,C_cal)</f>
        <v>2.0815247998456469E-2</v>
      </c>
      <c r="I73" s="272">
        <f t="shared" ref="I73:I104" si="45">CalcDeltaN(H73,SampleDoping,Thickness,AreaFrac)</f>
        <v>1054362756301558.5</v>
      </c>
      <c r="J73" s="272">
        <f t="shared" ref="J73:J104" si="46">IF(AND(AND(I73&gt;=FitRangeMin,I73&lt;=FitRangeMax),A73&gt;TimeofMaxCD),I73,"")</f>
        <v>1054362756301558.5</v>
      </c>
      <c r="K73" s="272">
        <f t="shared" ref="K73:K104" si="47">IF(I73-BiasPtCD&lt;0,0.00001,I73-BiasPtCD)</f>
        <v>1054362756301558.5</v>
      </c>
      <c r="L73" s="274">
        <f t="shared" si="36"/>
        <v>-3.3733490720353926E+17</v>
      </c>
      <c r="M73" s="223" t="str">
        <f t="shared" ref="M73:M104" si="48">IF(E73&gt;0.85*BiasLight,IF( E73&lt;1.15*BiasLight,E73,""),"")</f>
        <v/>
      </c>
      <c r="N73" s="223" t="str">
        <f t="shared" ref="N73:N104" si="49">IF(E73&gt;0.85*BiasLight,IF(E73&lt;1.15*BiasLight,I73,""),"")</f>
        <v/>
      </c>
      <c r="O73" s="274">
        <f t="shared" ref="O73:O104" si="50">I73-Traps</f>
        <v>1054362756301558.5</v>
      </c>
      <c r="P73" s="272">
        <f t="shared" si="37"/>
        <v>3.4796038038980453E-4</v>
      </c>
      <c r="Q73" s="274">
        <f t="shared" si="38"/>
        <v>3.4796038038980453E-4</v>
      </c>
      <c r="R73" s="275">
        <f t="shared" si="39"/>
        <v>2873.8904092464336</v>
      </c>
      <c r="S73" s="276">
        <f>IF(AND(E73&gt;0.95*BiasLight,E73&lt;1.05*BiasLight),"",IF(AugerModel="Sinton",calclifetimeauger(Auger_Coefficient,I73,P73),calclifetimerichter(SampleType,I73,SampleDoping,P73)))</f>
        <v>2872.0450190821198</v>
      </c>
      <c r="T73" s="278">
        <f t="shared" si="40"/>
        <v>2872.0450190821198</v>
      </c>
      <c r="U73" s="276">
        <f t="shared" ref="U73:U104" si="51">FitInterceptAuger+FitSlopeAuger*(I73+Traps)</f>
        <v>2824.9471058020172</v>
      </c>
      <c r="V73" s="275" t="str">
        <f>IF(AugerModel="Sinton","",IF(SampleType="n-type",n_intr_boltzmann(SampleDoping,0,K73,298.15),n_intr_boltzmann(0,SampleDoping,K73,298.15)))</f>
        <v/>
      </c>
      <c r="W73" s="275" t="str">
        <f t="shared" si="15"/>
        <v/>
      </c>
      <c r="X73" s="270">
        <f>IF(AND(A73&gt;TimeofMaxCD,I73&gt;Traps),IF(AugerModel="Sinton",CalcImpliedV(SampleDoping,O73),CalcImpliedVRichter(O73,SampleDoping,V73)),"")</f>
        <v>0.60455910088659326</v>
      </c>
      <c r="Y73" s="277">
        <f t="shared" ref="Y73:Y104" si="52">IF(OR(P73="",P73&lt;0,A73&lt;=TimeofMaxCD),"",(O73*Thickness*1.602E-19/(0.038*OptConst*P73)))</f>
        <v>1.2774360703023944</v>
      </c>
      <c r="Z73" s="279">
        <f t="shared" ref="Z73:Z104" si="53">IF(Y73="","",($AC$6*X73*(1-Y73)))</f>
        <v>-5.8704275425433827E-3</v>
      </c>
      <c r="AA73" s="279">
        <f t="shared" ref="AA73:AA104" si="54">IF(Y73="","",$AC$6*(1-Y73))</f>
        <v>-9.7102624605838045E-3</v>
      </c>
      <c r="AB73" s="226" t="str">
        <f t="shared" ref="AB73:AB104" si="55">IF(C73&gt;0.6,O73,"")</f>
        <v/>
      </c>
    </row>
    <row r="74" spans="1:28">
      <c r="A74" s="268">
        <v>6.5499E-3</v>
      </c>
      <c r="B74" s="268">
        <v>0.72430000000000005</v>
      </c>
      <c r="C74" s="269">
        <v>8.8995199999999993E-3</v>
      </c>
      <c r="D74" s="270">
        <f>IF(CouplingMode="AC",B74-(A$11-A$10)*SUM(B$9:B74)/0.21,B74)</f>
        <v>0.72430000000000005</v>
      </c>
      <c r="E74" s="271">
        <f t="shared" si="41"/>
        <v>1.0581252741384262</v>
      </c>
      <c r="F74" s="271">
        <f t="shared" si="42"/>
        <v>1.0581252741384262</v>
      </c>
      <c r="G74" s="272">
        <f t="shared" si="43"/>
        <v>1.7569370968840285E+17</v>
      </c>
      <c r="H74" s="273">
        <f t="shared" si="44"/>
        <v>2.0169236756945434E-2</v>
      </c>
      <c r="I74" s="272">
        <f t="shared" si="45"/>
        <v>1021130950439912.6</v>
      </c>
      <c r="J74" s="272">
        <f t="shared" si="46"/>
        <v>1021130950439912.6</v>
      </c>
      <c r="K74" s="272">
        <f t="shared" si="47"/>
        <v>1021130950439912.6</v>
      </c>
      <c r="L74" s="274">
        <f t="shared" si="36"/>
        <v>-3.2697639047300435E+17</v>
      </c>
      <c r="M74" s="223" t="str">
        <f t="shared" si="48"/>
        <v/>
      </c>
      <c r="N74" s="223" t="str">
        <f t="shared" si="49"/>
        <v/>
      </c>
      <c r="O74" s="274">
        <f t="shared" si="50"/>
        <v>1021130950439912.6</v>
      </c>
      <c r="P74" s="272">
        <f t="shared" si="37"/>
        <v>3.5994775964603027E-4</v>
      </c>
      <c r="Q74" s="274">
        <f t="shared" si="38"/>
        <v>3.5994775964603027E-4</v>
      </c>
      <c r="R74" s="275">
        <f t="shared" si="39"/>
        <v>2778.1809254303789</v>
      </c>
      <c r="S74" s="276">
        <f>IF(AND(E74&gt;0.95*BiasLight,E74&lt;1.05*BiasLight),"",IF(AugerModel="Sinton",calclifetimeauger(Auger_Coefficient,I74,P74),calclifetimerichter(SampleType,I74,SampleDoping,P74)))</f>
        <v>2776.4500294565883</v>
      </c>
      <c r="T74" s="278">
        <f t="shared" si="40"/>
        <v>2776.4500294565883</v>
      </c>
      <c r="U74" s="276">
        <f t="shared" si="51"/>
        <v>2776.9992694756575</v>
      </c>
      <c r="V74" s="275" t="str">
        <f>IF(AugerModel="Sinton","",IF(SampleType="n-type",n_intr_boltzmann(SampleDoping,0,K74,298.15),n_intr_boltzmann(0,SampleDoping,K74,298.15)))</f>
        <v/>
      </c>
      <c r="W74" s="275" t="str">
        <f t="shared" ref="W74:W134" si="56">IF(V74="","",IF(T74="","",V74^2*S74))</f>
        <v/>
      </c>
      <c r="X74" s="270">
        <f>IF(AND(A74&gt;TimeofMaxCD,I74&gt;Traps),IF(AugerModel="Sinton",CalcImpliedV(SampleDoping,O74),CalcImpliedVRichter(O74,SampleDoping,V74)),"")</f>
        <v>0.60299307628746024</v>
      </c>
      <c r="Y74" s="277">
        <f t="shared" si="52"/>
        <v>1.1959716366483613</v>
      </c>
      <c r="Z74" s="279">
        <f t="shared" si="53"/>
        <v>-4.135933901668931E-3</v>
      </c>
      <c r="AA74" s="279">
        <f t="shared" si="54"/>
        <v>-6.8590072826926448E-3</v>
      </c>
      <c r="AB74" s="226" t="str">
        <f t="shared" si="55"/>
        <v/>
      </c>
    </row>
    <row r="75" spans="1:28">
      <c r="A75" s="268">
        <v>6.6499000000000003E-3</v>
      </c>
      <c r="B75" s="268">
        <v>0.70215099999999997</v>
      </c>
      <c r="C75" s="269">
        <v>8.2081199999999993E-3</v>
      </c>
      <c r="D75" s="270">
        <f>IF(CouplingMode="AC",B75-(A$11-A$10)*SUM(B$9:B75)/0.21,B75)</f>
        <v>0.70215099999999997</v>
      </c>
      <c r="E75" s="271">
        <f t="shared" si="41"/>
        <v>0.97591996255540725</v>
      </c>
      <c r="F75" s="271">
        <f t="shared" si="42"/>
        <v>0.97591996255540725</v>
      </c>
      <c r="G75" s="272">
        <f t="shared" si="43"/>
        <v>1.6204413860158448E+17</v>
      </c>
      <c r="H75" s="273">
        <f t="shared" si="44"/>
        <v>1.9549375744564133E-2</v>
      </c>
      <c r="I75" s="272">
        <f t="shared" si="45"/>
        <v>989273239742595.87</v>
      </c>
      <c r="J75" s="272">
        <f t="shared" si="46"/>
        <v>989273239742595.87</v>
      </c>
      <c r="K75" s="272">
        <f t="shared" si="47"/>
        <v>989273239742595.87</v>
      </c>
      <c r="L75" s="274">
        <f t="shared" ref="L75:L106" si="57">IF(ABS(SLOPE(K73:K77,A73:A77))&lt;1000000000000,-1000000000000,(SLOPE(K73:K77,A73:A77)))</f>
        <v>-3.164281061544743E+17</v>
      </c>
      <c r="M75" s="223" t="str">
        <f t="shared" si="48"/>
        <v/>
      </c>
      <c r="N75" s="223" t="str">
        <f t="shared" si="49"/>
        <v/>
      </c>
      <c r="O75" s="274">
        <f t="shared" si="50"/>
        <v>989273239742595.87</v>
      </c>
      <c r="P75" s="272">
        <f t="shared" ref="P75:P106" si="58">calclifetime(AnalysisMode,K75,Thickness,G75,L75)</f>
        <v>3.7595734344399471E-4</v>
      </c>
      <c r="Q75" s="274">
        <f t="shared" si="38"/>
        <v>3.7595734344399471E-4</v>
      </c>
      <c r="R75" s="275">
        <f t="shared" si="39"/>
        <v>2659.8762264872935</v>
      </c>
      <c r="S75" s="276">
        <f>IF(AND(E75&gt;0.95*BiasLight,E75&lt;1.05*BiasLight),"",IF(AugerModel="Sinton",calclifetimeauger(Auger_Coefficient,I75,P75),calclifetimerichter(SampleType,I75,SampleDoping,P75)))</f>
        <v>2658.2516483261279</v>
      </c>
      <c r="T75" s="278">
        <f t="shared" si="40"/>
        <v>2658.2516483261279</v>
      </c>
      <c r="U75" s="276">
        <f t="shared" si="51"/>
        <v>2731.0340184565903</v>
      </c>
      <c r="V75" s="275" t="str">
        <f>IF(AugerModel="Sinton","",IF(SampleType="n-type",n_intr_boltzmann(SampleDoping,0,K75,298.15),n_intr_boltzmann(0,SampleDoping,K75,298.15)))</f>
        <v/>
      </c>
      <c r="W75" s="275" t="str">
        <f t="shared" si="56"/>
        <v/>
      </c>
      <c r="X75" s="270">
        <f>IF(AND(A75&gt;TimeofMaxCD,I75&gt;Traps),IF(AugerModel="Sinton",CalcImpliedV(SampleDoping,O75),CalcImpliedVRichter(O75,SampleDoping,V75)),"")</f>
        <v>0.60144549472845532</v>
      </c>
      <c r="Y75" s="277">
        <f t="shared" si="52"/>
        <v>1.1093193904657936</v>
      </c>
      <c r="Z75" s="279">
        <f t="shared" si="53"/>
        <v>-2.3012379208739355E-3</v>
      </c>
      <c r="AA75" s="279">
        <f t="shared" si="54"/>
        <v>-3.8261786663027777E-3</v>
      </c>
      <c r="AB75" s="226" t="str">
        <f t="shared" si="55"/>
        <v/>
      </c>
    </row>
    <row r="76" spans="1:28">
      <c r="A76" s="268">
        <v>6.7498999999999997E-3</v>
      </c>
      <c r="B76" s="268">
        <v>0.68033500000000002</v>
      </c>
      <c r="C76" s="269">
        <v>8.2701300000000005E-3</v>
      </c>
      <c r="D76" s="270">
        <f>IF(CouplingMode="AC",B76-(A$11-A$10)*SUM(B$9:B76)/0.21,B76)</f>
        <v>0.68033500000000002</v>
      </c>
      <c r="E76" s="271">
        <f t="shared" si="41"/>
        <v>0.9832927588690652</v>
      </c>
      <c r="F76" s="271">
        <f t="shared" si="42"/>
        <v>0.9832927588690652</v>
      </c>
      <c r="G76" s="272">
        <f t="shared" si="43"/>
        <v>1.6326833574230419E+17</v>
      </c>
      <c r="H76" s="273">
        <f t="shared" si="44"/>
        <v>1.8939024526756203E-2</v>
      </c>
      <c r="I76" s="272">
        <f t="shared" si="45"/>
        <v>957932029709215.12</v>
      </c>
      <c r="J76" s="272">
        <f t="shared" si="46"/>
        <v>957932029709215.12</v>
      </c>
      <c r="K76" s="272">
        <f t="shared" si="47"/>
        <v>957932029709215.12</v>
      </c>
      <c r="L76" s="274">
        <f t="shared" si="57"/>
        <v>-3.068268798616688E+17</v>
      </c>
      <c r="M76" s="223" t="str">
        <f t="shared" si="48"/>
        <v/>
      </c>
      <c r="N76" s="223" t="str">
        <f t="shared" si="49"/>
        <v/>
      </c>
      <c r="O76" s="274">
        <f t="shared" si="50"/>
        <v>957932029709215.12</v>
      </c>
      <c r="P76" s="272">
        <f t="shared" si="58"/>
        <v>3.629586740545674E-4</v>
      </c>
      <c r="Q76" s="274">
        <f t="shared" ref="Q76:Q107" si="59">IF($J76="","",P76)</f>
        <v>3.629586740545674E-4</v>
      </c>
      <c r="R76" s="275">
        <f t="shared" ref="R76" si="60">IF(Q76="","",1/Q76)</f>
        <v>2755.134596534424</v>
      </c>
      <c r="S76" s="276">
        <f>IF(AND(E76&gt;0.95*BiasLight,E76&lt;1.05*BiasLight),"",IF(AugerModel="Sinton",calclifetimeauger(Auger_Coefficient,I76,P76),calclifetimerichter(SampleType,I76,SampleDoping,P76)))</f>
        <v>2753.6113244703429</v>
      </c>
      <c r="T76" s="278">
        <f t="shared" ref="T76:T107" si="61">IF($J76="","",S76)</f>
        <v>2753.6113244703429</v>
      </c>
      <c r="U76" s="276">
        <f t="shared" si="51"/>
        <v>2685.8139899331031</v>
      </c>
      <c r="V76" s="275" t="str">
        <f>IF(AugerModel="Sinton","",IF(SampleType="n-type",n_intr_boltzmann(SampleDoping,0,K76,298.15),n_intr_boltzmann(0,SampleDoping,K76,298.15)))</f>
        <v/>
      </c>
      <c r="W76" s="275" t="str">
        <f t="shared" si="56"/>
        <v/>
      </c>
      <c r="X76" s="270">
        <f>IF(AND(A76&gt;TimeofMaxCD,I76&gt;Traps),IF(AugerModel="Sinton",CalcImpliedV(SampleDoping,O76),CalcImpliedVRichter(O76,SampleDoping,V76)),"")</f>
        <v>0.59987598074506665</v>
      </c>
      <c r="Y76" s="277">
        <f t="shared" si="52"/>
        <v>1.1126445119054844</v>
      </c>
      <c r="Z76" s="279">
        <f t="shared" si="53"/>
        <v>-2.3650457969198132E-3</v>
      </c>
      <c r="AA76" s="279">
        <f t="shared" si="54"/>
        <v>-3.9425579166919552E-3</v>
      </c>
      <c r="AB76" s="226" t="str">
        <f t="shared" si="55"/>
        <v/>
      </c>
    </row>
    <row r="77" spans="1:28">
      <c r="A77" s="268">
        <v>6.8498999999999999E-3</v>
      </c>
      <c r="B77" s="268">
        <v>0.6593</v>
      </c>
      <c r="C77" s="269">
        <v>7.6744200000000004E-3</v>
      </c>
      <c r="D77" s="270">
        <f>IF(CouplingMode="AC",B77-(A$11-A$10)*SUM(B$9:B77)/0.21,B77)</f>
        <v>0.6593</v>
      </c>
      <c r="E77" s="271">
        <f t="shared" si="41"/>
        <v>0.91246469094439042</v>
      </c>
      <c r="F77" s="271">
        <f t="shared" si="42"/>
        <v>0.91246469094439042</v>
      </c>
      <c r="G77" s="272">
        <f t="shared" si="43"/>
        <v>1.5150787003196493E+17</v>
      </c>
      <c r="H77" s="273">
        <f t="shared" si="44"/>
        <v>1.8350702522425835E-2</v>
      </c>
      <c r="I77" s="272">
        <f t="shared" si="45"/>
        <v>927748163589670.12</v>
      </c>
      <c r="J77" s="272">
        <f t="shared" si="46"/>
        <v>927748163589670.12</v>
      </c>
      <c r="K77" s="272">
        <f t="shared" si="47"/>
        <v>927748163589670.12</v>
      </c>
      <c r="L77" s="274">
        <f t="shared" si="57"/>
        <v>-2.9763726552979424E+17</v>
      </c>
      <c r="M77" s="223" t="str">
        <f t="shared" si="48"/>
        <v/>
      </c>
      <c r="N77" s="223" t="str">
        <f t="shared" si="49"/>
        <v/>
      </c>
      <c r="O77" s="274">
        <f t="shared" si="50"/>
        <v>927748163589670.12</v>
      </c>
      <c r="P77" s="272">
        <f t="shared" si="58"/>
        <v>3.7682161688545114E-4</v>
      </c>
      <c r="Q77" s="274">
        <f t="shared" si="59"/>
        <v>3.7682161688545114E-4</v>
      </c>
      <c r="R77" s="275">
        <f t="shared" ref="R77:R108" si="62">IF(Q77="","",1/Q77)</f>
        <v>2653.7755669786507</v>
      </c>
      <c r="S77" s="276">
        <f>IF(AND(E77&gt;0.95*BiasLight,E77&lt;1.05*BiasLight),"",IF(AugerModel="Sinton",calclifetimeauger(Auger_Coefficient,I77,P77),calclifetimerichter(SampleType,I77,SampleDoping,P77)))</f>
        <v>2652.3467773312777</v>
      </c>
      <c r="T77" s="278">
        <f t="shared" si="61"/>
        <v>2652.3467773312777</v>
      </c>
      <c r="U77" s="276">
        <f t="shared" si="51"/>
        <v>2642.2638115761983</v>
      </c>
      <c r="V77" s="275" t="str">
        <f>IF(AugerModel="Sinton","",IF(SampleType="n-type",n_intr_boltzmann(SampleDoping,0,K77,298.15),n_intr_boltzmann(0,SampleDoping,K77,298.15)))</f>
        <v/>
      </c>
      <c r="W77" s="275" t="str">
        <f t="shared" si="56"/>
        <v/>
      </c>
      <c r="X77" s="270">
        <f>IF(AND(A77&gt;TimeofMaxCD,I77&gt;Traps),IF(AugerModel="Sinton",CalcImpliedV(SampleDoping,O77),CalcImpliedVRichter(O77,SampleDoping,V77)),"")</f>
        <v>0.59831756365961875</v>
      </c>
      <c r="Y77" s="277">
        <f t="shared" si="52"/>
        <v>1.0379422960440563</v>
      </c>
      <c r="Z77" s="279">
        <f t="shared" si="53"/>
        <v>-7.9455397450561155E-4</v>
      </c>
      <c r="AA77" s="279">
        <f t="shared" si="54"/>
        <v>-1.3279803615419707E-3</v>
      </c>
      <c r="AB77" s="226" t="str">
        <f t="shared" si="55"/>
        <v/>
      </c>
    </row>
    <row r="78" spans="1:28">
      <c r="A78" s="268">
        <v>6.9499000000000002E-3</v>
      </c>
      <c r="B78" s="268">
        <v>0.63888</v>
      </c>
      <c r="C78" s="269">
        <v>7.1275499999999999E-3</v>
      </c>
      <c r="D78" s="270">
        <f>IF(CouplingMode="AC",B78-(A$11-A$10)*SUM(B$9:B78)/0.21,B78)</f>
        <v>0.63888</v>
      </c>
      <c r="E78" s="271">
        <f t="shared" si="41"/>
        <v>0.84744354725708126</v>
      </c>
      <c r="F78" s="271">
        <f t="shared" si="42"/>
        <v>0.84744354725708126</v>
      </c>
      <c r="G78" s="272">
        <f t="shared" si="43"/>
        <v>1.4071160023120074E+17</v>
      </c>
      <c r="H78" s="273">
        <f t="shared" si="44"/>
        <v>1.7779749384007674E-2</v>
      </c>
      <c r="I78" s="272">
        <f t="shared" si="45"/>
        <v>898480048585541.12</v>
      </c>
      <c r="J78" s="272">
        <f t="shared" si="46"/>
        <v>898480048585541.12</v>
      </c>
      <c r="K78" s="272">
        <f t="shared" si="47"/>
        <v>898480048585541.12</v>
      </c>
      <c r="L78" s="274">
        <f t="shared" si="57"/>
        <v>-2.8857276904161971E+17</v>
      </c>
      <c r="M78" s="223" t="str">
        <f t="shared" si="48"/>
        <v/>
      </c>
      <c r="N78" s="223" t="str">
        <f t="shared" si="49"/>
        <v/>
      </c>
      <c r="O78" s="274">
        <f t="shared" si="50"/>
        <v>898480048585541.12</v>
      </c>
      <c r="P78" s="272">
        <f t="shared" si="58"/>
        <v>3.9085787870661766E-4</v>
      </c>
      <c r="Q78" s="274">
        <f t="shared" si="59"/>
        <v>3.9085787870661766E-4</v>
      </c>
      <c r="R78" s="275">
        <f t="shared" si="62"/>
        <v>2558.4747154364295</v>
      </c>
      <c r="S78" s="276">
        <f>IF(AND(E78&gt;0.95*BiasLight,E78&lt;1.05*BiasLight),"",IF(AugerModel="Sinton",calclifetimeauger(Auger_Coefficient,I78,P78),calclifetimerichter(SampleType,I78,SampleDoping,P78)))</f>
        <v>2557.134653216237</v>
      </c>
      <c r="T78" s="278">
        <f t="shared" si="61"/>
        <v>2557.134653216237</v>
      </c>
      <c r="U78" s="276">
        <f t="shared" si="51"/>
        <v>2600.0349061221405</v>
      </c>
      <c r="V78" s="275" t="str">
        <f>IF(AugerModel="Sinton","",IF(SampleType="n-type",n_intr_boltzmann(SampleDoping,0,K78,298.15),n_intr_boltzmann(0,SampleDoping,K78,298.15)))</f>
        <v/>
      </c>
      <c r="W78" s="275" t="str">
        <f t="shared" si="56"/>
        <v/>
      </c>
      <c r="X78" s="270">
        <f>IF(AND(A78&gt;TimeofMaxCD,I78&gt;Traps),IF(AugerModel="Sinton",CalcImpliedV(SampleDoping,O78),CalcImpliedVRichter(O78,SampleDoping,V78)),"")</f>
        <v>0.59675974953765532</v>
      </c>
      <c r="Y78" s="277">
        <f t="shared" si="52"/>
        <v>0.96909975146883764</v>
      </c>
      <c r="Z78" s="279">
        <f t="shared" si="53"/>
        <v>6.4540086009377124E-4</v>
      </c>
      <c r="AA78" s="279">
        <f t="shared" si="54"/>
        <v>1.0815086985906826E-3</v>
      </c>
      <c r="AB78" s="226" t="str">
        <f t="shared" si="55"/>
        <v/>
      </c>
    </row>
    <row r="79" spans="1:28">
      <c r="A79" s="268">
        <v>7.0498999999999996E-3</v>
      </c>
      <c r="B79" s="268">
        <v>0.61911400000000005</v>
      </c>
      <c r="C79" s="269">
        <v>7.0225699999999997E-3</v>
      </c>
      <c r="D79" s="270">
        <f>IF(CouplingMode="AC",B79-(A$11-A$10)*SUM(B$9:B79)/0.21,B79)</f>
        <v>0.61911400000000005</v>
      </c>
      <c r="E79" s="271">
        <f t="shared" si="41"/>
        <v>0.83496175146595408</v>
      </c>
      <c r="F79" s="271">
        <f t="shared" si="42"/>
        <v>0.83496175146595408</v>
      </c>
      <c r="G79" s="272">
        <f t="shared" si="43"/>
        <v>1.3863909231582008E+17</v>
      </c>
      <c r="H79" s="273">
        <f t="shared" si="44"/>
        <v>1.722724014258661E-2</v>
      </c>
      <c r="I79" s="272">
        <f t="shared" si="45"/>
        <v>870180597539535.87</v>
      </c>
      <c r="J79" s="272">
        <f t="shared" si="46"/>
        <v>870180597539535.87</v>
      </c>
      <c r="K79" s="272">
        <f t="shared" si="47"/>
        <v>870180597539535.87</v>
      </c>
      <c r="L79" s="274">
        <f t="shared" si="57"/>
        <v>-2.8084860834817376E+17</v>
      </c>
      <c r="M79" s="223" t="str">
        <f t="shared" si="48"/>
        <v/>
      </c>
      <c r="N79" s="223" t="str">
        <f t="shared" si="49"/>
        <v/>
      </c>
      <c r="O79" s="274">
        <f t="shared" si="50"/>
        <v>870180597539535.87</v>
      </c>
      <c r="P79" s="272">
        <f t="shared" si="58"/>
        <v>3.8479608960384081E-4</v>
      </c>
      <c r="Q79" s="274">
        <f t="shared" si="59"/>
        <v>3.8479608960384081E-4</v>
      </c>
      <c r="R79" s="275">
        <f t="shared" si="62"/>
        <v>2598.7790079403617</v>
      </c>
      <c r="S79" s="276">
        <f>IF(AND(E79&gt;0.95*BiasLight,E79&lt;1.05*BiasLight),"",IF(AugerModel="Sinton",calclifetimeauger(Auger_Coefficient,I79,P79),calclifetimerichter(SampleType,I79,SampleDoping,P79)))</f>
        <v>2597.5220322482869</v>
      </c>
      <c r="T79" s="278">
        <f t="shared" si="61"/>
        <v>2597.5220322482869</v>
      </c>
      <c r="U79" s="276">
        <f t="shared" si="51"/>
        <v>2559.2036177916516</v>
      </c>
      <c r="V79" s="275" t="str">
        <f>IF(AugerModel="Sinton","",IF(SampleType="n-type",n_intr_boltzmann(SampleDoping,0,K79,298.15),n_intr_boltzmann(0,SampleDoping,K79,298.15)))</f>
        <v/>
      </c>
      <c r="W79" s="275" t="str">
        <f t="shared" si="56"/>
        <v/>
      </c>
      <c r="X79" s="270">
        <f>IF(AND(A79&gt;TimeofMaxCD,I79&gt;Traps),IF(AugerModel="Sinton",CalcImpliedV(SampleDoping,O79),CalcImpliedVRichter(O79,SampleDoping,V79)),"")</f>
        <v>0.59520704281464842</v>
      </c>
      <c r="Y79" s="277">
        <f t="shared" si="52"/>
        <v>0.9533616121432632</v>
      </c>
      <c r="Z79" s="279">
        <f t="shared" si="53"/>
        <v>9.715823921247821E-4</v>
      </c>
      <c r="AA79" s="279">
        <f t="shared" si="54"/>
        <v>1.632343574985788E-3</v>
      </c>
      <c r="AB79" s="226" t="str">
        <f t="shared" si="55"/>
        <v/>
      </c>
    </row>
    <row r="80" spans="1:28">
      <c r="A80" s="268">
        <v>7.1498999999999998E-3</v>
      </c>
      <c r="B80" s="268">
        <v>0.59970999999999997</v>
      </c>
      <c r="C80" s="269">
        <v>6.3843900000000002E-3</v>
      </c>
      <c r="D80" s="270">
        <f>IF(CouplingMode="AC",B80-(A$11-A$10)*SUM(B$9:B80)/0.21,B80)</f>
        <v>0.59970999999999997</v>
      </c>
      <c r="E80" s="271">
        <f t="shared" si="41"/>
        <v>0.7590841325101384</v>
      </c>
      <c r="F80" s="271">
        <f t="shared" si="42"/>
        <v>0.7590841325101384</v>
      </c>
      <c r="G80" s="272">
        <f t="shared" si="43"/>
        <v>1.260401867963151E+17</v>
      </c>
      <c r="H80" s="273">
        <f t="shared" si="44"/>
        <v>1.6685000643324961E-2</v>
      </c>
      <c r="I80" s="272">
        <f t="shared" si="45"/>
        <v>842429428213472.37</v>
      </c>
      <c r="J80" s="272">
        <f t="shared" si="46"/>
        <v>842429428213472.37</v>
      </c>
      <c r="K80" s="272">
        <f t="shared" si="47"/>
        <v>842429428213472.37</v>
      </c>
      <c r="L80" s="274">
        <f t="shared" si="57"/>
        <v>-2.7202144836277171E+17</v>
      </c>
      <c r="M80" s="223" t="str">
        <f t="shared" si="48"/>
        <v/>
      </c>
      <c r="N80" s="223" t="str">
        <f t="shared" si="49"/>
        <v/>
      </c>
      <c r="O80" s="274">
        <f t="shared" si="50"/>
        <v>842429428213472.37</v>
      </c>
      <c r="P80" s="272">
        <f t="shared" si="58"/>
        <v>4.0646108212557733E-4</v>
      </c>
      <c r="Q80" s="274">
        <f t="shared" si="59"/>
        <v>4.0646108212557733E-4</v>
      </c>
      <c r="R80" s="275">
        <f t="shared" si="62"/>
        <v>2460.2601429158403</v>
      </c>
      <c r="S80" s="276">
        <f>IF(AND(E80&gt;0.95*BiasLight,E80&lt;1.05*BiasLight),"",IF(AugerModel="Sinton",calclifetimeauger(Auger_Coefficient,I80,P80),calclifetimerichter(SampleType,I80,SampleDoping,P80)))</f>
        <v>2459.082061928917</v>
      </c>
      <c r="T80" s="278">
        <f t="shared" si="61"/>
        <v>2459.082061928917</v>
      </c>
      <c r="U80" s="276">
        <f t="shared" si="51"/>
        <v>2519.1634066080969</v>
      </c>
      <c r="V80" s="275" t="str">
        <f>IF(AugerModel="Sinton","",IF(SampleType="n-type",n_intr_boltzmann(SampleDoping,0,K80,298.15),n_intr_boltzmann(0,SampleDoping,K80,298.15)))</f>
        <v/>
      </c>
      <c r="W80" s="275" t="str">
        <f t="shared" si="56"/>
        <v/>
      </c>
      <c r="X80" s="270">
        <f>IF(AND(A80&gt;TimeofMaxCD,I80&gt;Traps),IF(AugerModel="Sinton",CalcImpliedV(SampleDoping,O80),CalcImpliedVRichter(O80,SampleDoping,V80)),"")</f>
        <v>0.59363727197524818</v>
      </c>
      <c r="Y80" s="277">
        <f t="shared" si="52"/>
        <v>0.87376264837254891</v>
      </c>
      <c r="Z80" s="279">
        <f t="shared" si="53"/>
        <v>2.6228718964525079E-3</v>
      </c>
      <c r="AA80" s="279">
        <f t="shared" si="54"/>
        <v>4.4183073069607882E-3</v>
      </c>
      <c r="AB80" s="226" t="str">
        <f t="shared" si="55"/>
        <v/>
      </c>
    </row>
    <row r="81" spans="1:28">
      <c r="A81" s="268">
        <v>7.2499000000000001E-3</v>
      </c>
      <c r="B81" s="268">
        <v>0.58075500000000002</v>
      </c>
      <c r="C81" s="269">
        <v>6.3072400000000004E-3</v>
      </c>
      <c r="D81" s="270">
        <f>IF(CouplingMode="AC",B81-(A$11-A$10)*SUM(B$9:B81)/0.21,B81)</f>
        <v>0.58075500000000002</v>
      </c>
      <c r="E81" s="271">
        <f t="shared" si="41"/>
        <v>0.74991123724165432</v>
      </c>
      <c r="F81" s="271">
        <f t="shared" si="42"/>
        <v>0.74991123724165432</v>
      </c>
      <c r="G81" s="272">
        <f t="shared" si="43"/>
        <v>1.2451709682039952E+17</v>
      </c>
      <c r="H81" s="273">
        <f t="shared" si="44"/>
        <v>1.6155452716411282E-2</v>
      </c>
      <c r="I81" s="272">
        <f t="shared" si="45"/>
        <v>815349169601617.62</v>
      </c>
      <c r="J81" s="272">
        <f t="shared" si="46"/>
        <v>815349169601617.62</v>
      </c>
      <c r="K81" s="272">
        <f t="shared" si="47"/>
        <v>815349169601617.62</v>
      </c>
      <c r="L81" s="274">
        <f t="shared" si="57"/>
        <v>-2.6381651224678717E+17</v>
      </c>
      <c r="M81" s="223" t="str">
        <f t="shared" si="48"/>
        <v/>
      </c>
      <c r="N81" s="223" t="str">
        <f t="shared" si="49"/>
        <v/>
      </c>
      <c r="O81" s="274">
        <f t="shared" si="50"/>
        <v>815349169601617.62</v>
      </c>
      <c r="P81" s="272">
        <f t="shared" si="58"/>
        <v>3.9916592773873186E-4</v>
      </c>
      <c r="Q81" s="274">
        <f t="shared" si="59"/>
        <v>3.9916592773873186E-4</v>
      </c>
      <c r="R81" s="275">
        <f t="shared" si="62"/>
        <v>2505.2238442919788</v>
      </c>
      <c r="S81" s="276">
        <f>IF(AND(E81&gt;0.95*BiasLight,E81&lt;1.05*BiasLight),"",IF(AugerModel="Sinton",calclifetimeauger(Auger_Coefficient,I81,P81),calclifetimerichter(SampleType,I81,SampleDoping,P81)))</f>
        <v>2504.1202858064844</v>
      </c>
      <c r="T81" s="278">
        <f t="shared" si="61"/>
        <v>2504.1202858064844</v>
      </c>
      <c r="U81" s="276">
        <f t="shared" si="51"/>
        <v>2480.0912053259126</v>
      </c>
      <c r="V81" s="275" t="str">
        <f>IF(AugerModel="Sinton","",IF(SampleType="n-type",n_intr_boltzmann(SampleDoping,0,K81,298.15),n_intr_boltzmann(0,SampleDoping,K81,298.15)))</f>
        <v/>
      </c>
      <c r="W81" s="275" t="str">
        <f t="shared" si="56"/>
        <v/>
      </c>
      <c r="X81" s="270">
        <f>IF(AND(A81&gt;TimeofMaxCD,I81&gt;Traps),IF(AugerModel="Sinton",CalcImpliedV(SampleDoping,O81),CalcImpliedVRichter(O81,SampleDoping,V81)),"")</f>
        <v>0.59205759286185478</v>
      </c>
      <c r="Y81" s="277">
        <f t="shared" si="52"/>
        <v>0.86113072477306285</v>
      </c>
      <c r="Z81" s="279">
        <f t="shared" si="53"/>
        <v>2.8776513084665788E-3</v>
      </c>
      <c r="AA81" s="279">
        <f t="shared" si="54"/>
        <v>4.8604246329428009E-3</v>
      </c>
      <c r="AB81" s="226" t="str">
        <f t="shared" si="55"/>
        <v/>
      </c>
    </row>
    <row r="82" spans="1:28">
      <c r="A82" s="268">
        <v>7.3499000000000004E-3</v>
      </c>
      <c r="B82" s="268">
        <v>0.562913</v>
      </c>
      <c r="C82" s="269">
        <v>5.9962000000000001E-3</v>
      </c>
      <c r="D82" s="270">
        <f>IF(CouplingMode="AC",B82-(A$11-A$10)*SUM(B$9:B82)/0.21,B82)</f>
        <v>0.562913</v>
      </c>
      <c r="E82" s="271">
        <f t="shared" si="41"/>
        <v>0.71292954774963491</v>
      </c>
      <c r="F82" s="271">
        <f t="shared" si="42"/>
        <v>0.71292954774963491</v>
      </c>
      <c r="G82" s="272">
        <f t="shared" si="43"/>
        <v>1.183765666051204E+17</v>
      </c>
      <c r="H82" s="273">
        <f t="shared" si="44"/>
        <v>1.5657129170221721E-2</v>
      </c>
      <c r="I82" s="272">
        <f t="shared" si="45"/>
        <v>789885038373114.25</v>
      </c>
      <c r="J82" s="272">
        <f t="shared" si="46"/>
        <v>789885038373114.25</v>
      </c>
      <c r="K82" s="272">
        <f t="shared" si="47"/>
        <v>789885038373114.25</v>
      </c>
      <c r="L82" s="274">
        <f t="shared" si="57"/>
        <v>-2.5712537127719389E+17</v>
      </c>
      <c r="M82" s="223" t="str">
        <f t="shared" si="48"/>
        <v/>
      </c>
      <c r="N82" s="223" t="str">
        <f t="shared" si="49"/>
        <v/>
      </c>
      <c r="O82" s="274">
        <f t="shared" si="50"/>
        <v>789885038373114.25</v>
      </c>
      <c r="P82" s="272">
        <f t="shared" si="58"/>
        <v>4.0543951446203884E-4</v>
      </c>
      <c r="Q82" s="274">
        <f t="shared" si="59"/>
        <v>4.0543951446203884E-4</v>
      </c>
      <c r="R82" s="275">
        <f t="shared" si="62"/>
        <v>2466.4591494661277</v>
      </c>
      <c r="S82" s="276">
        <f>IF(AND(E82&gt;0.95*BiasLight,E82&lt;1.05*BiasLight),"",IF(AugerModel="Sinton",calclifetimeauger(Auger_Coefficient,I82,P82),calclifetimerichter(SampleType,I82,SampleDoping,P82)))</f>
        <v>2465.4234449655437</v>
      </c>
      <c r="T82" s="278">
        <f t="shared" si="61"/>
        <v>2465.4234449655437</v>
      </c>
      <c r="U82" s="276">
        <f t="shared" si="51"/>
        <v>2443.3508006238499</v>
      </c>
      <c r="V82" s="275" t="str">
        <f>IF(AugerModel="Sinton","",IF(SampleType="n-type",n_intr_boltzmann(SampleDoping,0,K82,298.15),n_intr_boltzmann(0,SampleDoping,K82,298.15)))</f>
        <v/>
      </c>
      <c r="W82" s="275" t="str">
        <f t="shared" si="56"/>
        <v/>
      </c>
      <c r="X82" s="270">
        <f>IF(AND(A82&gt;TimeofMaxCD,I82&gt;Traps),IF(AugerModel="Sinton",CalcImpliedV(SampleDoping,O82),CalcImpliedVRichter(O82,SampleDoping,V82)),"")</f>
        <v>0.59052633966714008</v>
      </c>
      <c r="Y82" s="277">
        <f t="shared" si="52"/>
        <v>0.82132819111438871</v>
      </c>
      <c r="Z82" s="279">
        <f t="shared" si="53"/>
        <v>3.6928643256024392E-3</v>
      </c>
      <c r="AA82" s="279">
        <f t="shared" si="54"/>
        <v>6.2535133109963958E-3</v>
      </c>
      <c r="AB82" s="226" t="str">
        <f t="shared" si="55"/>
        <v/>
      </c>
    </row>
    <row r="83" spans="1:28">
      <c r="A83" s="268">
        <v>7.4498999999999998E-3</v>
      </c>
      <c r="B83" s="268">
        <v>0.54513999999999996</v>
      </c>
      <c r="C83" s="269">
        <v>5.3941500000000003E-3</v>
      </c>
      <c r="D83" s="270">
        <f>IF(CouplingMode="AC",B83-(A$11-A$10)*SUM(B$9:B83)/0.21,B83)</f>
        <v>0.54513999999999996</v>
      </c>
      <c r="E83" s="271">
        <f t="shared" si="41"/>
        <v>0.64134767352551514</v>
      </c>
      <c r="F83" s="271">
        <f t="shared" si="42"/>
        <v>0.64134767352551514</v>
      </c>
      <c r="G83" s="272">
        <f t="shared" si="43"/>
        <v>1.064909370523015E+17</v>
      </c>
      <c r="H83" s="273">
        <f t="shared" si="44"/>
        <v>1.5160858481336156E-2</v>
      </c>
      <c r="I83" s="272">
        <f t="shared" si="45"/>
        <v>764544536336321.25</v>
      </c>
      <c r="J83" s="272">
        <f t="shared" si="46"/>
        <v>764544536336321.25</v>
      </c>
      <c r="K83" s="272">
        <f t="shared" si="47"/>
        <v>764544536336321.25</v>
      </c>
      <c r="L83" s="274">
        <f t="shared" si="57"/>
        <v>-2.4927166454886138E+17</v>
      </c>
      <c r="M83" s="223" t="str">
        <f t="shared" si="48"/>
        <v/>
      </c>
      <c r="N83" s="223" t="str">
        <f t="shared" si="49"/>
        <v/>
      </c>
      <c r="O83" s="274">
        <f t="shared" si="50"/>
        <v>764544536336321.25</v>
      </c>
      <c r="P83" s="272">
        <f t="shared" si="58"/>
        <v>4.318068225917507E-4</v>
      </c>
      <c r="Q83" s="274">
        <f t="shared" si="59"/>
        <v>4.318068225917507E-4</v>
      </c>
      <c r="R83" s="275">
        <f t="shared" si="62"/>
        <v>2315.8503934650525</v>
      </c>
      <c r="S83" s="276">
        <f>IF(AND(E83&gt;0.95*BiasLight,E83&lt;1.05*BiasLight),"",IF(AugerModel="Sinton",calclifetimeauger(Auger_Coefficient,I83,P83),calclifetimerichter(SampleType,I83,SampleDoping,P83)))</f>
        <v>2314.8800764073035</v>
      </c>
      <c r="T83" s="278">
        <f t="shared" si="61"/>
        <v>2314.8800764073035</v>
      </c>
      <c r="U83" s="276">
        <f t="shared" si="51"/>
        <v>2406.7887717907961</v>
      </c>
      <c r="V83" s="275" t="str">
        <f>IF(AugerModel="Sinton","",IF(SampleType="n-type",n_intr_boltzmann(SampleDoping,0,K83,298.15),n_intr_boltzmann(0,SampleDoping,K83,298.15)))</f>
        <v/>
      </c>
      <c r="W83" s="275" t="str">
        <f t="shared" si="56"/>
        <v/>
      </c>
      <c r="X83" s="270">
        <f>IF(AND(A83&gt;TimeofMaxCD,I83&gt;Traps),IF(AugerModel="Sinton",CalcImpliedV(SampleDoping,O83),CalcImpliedVRichter(O83,SampleDoping,V83)),"")</f>
        <v>0.58895561940908803</v>
      </c>
      <c r="Y83" s="277">
        <f t="shared" si="52"/>
        <v>0.74643535947479833</v>
      </c>
      <c r="Z83" s="279">
        <f t="shared" si="53"/>
        <v>5.2268411972267014E-3</v>
      </c>
      <c r="AA83" s="279">
        <f t="shared" si="54"/>
        <v>8.8747624183820595E-3</v>
      </c>
      <c r="AB83" s="226" t="str">
        <f t="shared" si="55"/>
        <v/>
      </c>
    </row>
    <row r="84" spans="1:28">
      <c r="A84" s="268">
        <v>7.5499E-3</v>
      </c>
      <c r="B84" s="268">
        <v>0.52739499999999995</v>
      </c>
      <c r="C84" s="269">
        <v>5.5386799999999998E-3</v>
      </c>
      <c r="D84" s="270">
        <f>IF(CouplingMode="AC",B84-(A$11-A$10)*SUM(B$9:B84)/0.21,B84)</f>
        <v>0.52739499999999995</v>
      </c>
      <c r="E84" s="271">
        <f t="shared" si="41"/>
        <v>0.65853184142122478</v>
      </c>
      <c r="F84" s="271">
        <f t="shared" si="42"/>
        <v>0.65853184142122478</v>
      </c>
      <c r="G84" s="272">
        <f t="shared" si="43"/>
        <v>1.0934423833835566E+17</v>
      </c>
      <c r="H84" s="273">
        <f t="shared" si="44"/>
        <v>1.4665494789948866E-2</v>
      </c>
      <c r="I84" s="272">
        <f t="shared" si="45"/>
        <v>739269059207523.62</v>
      </c>
      <c r="J84" s="272">
        <f t="shared" si="46"/>
        <v>739269059207523.62</v>
      </c>
      <c r="K84" s="272">
        <f t="shared" si="47"/>
        <v>739269059207523.62</v>
      </c>
      <c r="L84" s="274">
        <f t="shared" si="57"/>
        <v>-2.4376062113894694E+17</v>
      </c>
      <c r="M84" s="223" t="str">
        <f t="shared" si="48"/>
        <v/>
      </c>
      <c r="N84" s="223" t="str">
        <f t="shared" si="49"/>
        <v/>
      </c>
      <c r="O84" s="274">
        <f t="shared" si="50"/>
        <v>739269059207523.62</v>
      </c>
      <c r="P84" s="272">
        <f t="shared" si="58"/>
        <v>4.0938110149999244E-4</v>
      </c>
      <c r="Q84" s="274">
        <f t="shared" si="59"/>
        <v>4.0938110149999244E-4</v>
      </c>
      <c r="R84" s="275">
        <f t="shared" si="62"/>
        <v>2442.7116843839417</v>
      </c>
      <c r="S84" s="276">
        <f>IF(AND(E84&gt;0.95*BiasLight,E84&lt;1.05*BiasLight),"",IF(AugerModel="Sinton",calclifetimeauger(Auger_Coefficient,I84,P84),calclifetimerichter(SampleType,I84,SampleDoping,P84)))</f>
        <v>2441.804463272385</v>
      </c>
      <c r="T84" s="278">
        <f t="shared" si="61"/>
        <v>2441.804463272385</v>
      </c>
      <c r="U84" s="276">
        <f t="shared" si="51"/>
        <v>2370.3205628259338</v>
      </c>
      <c r="V84" s="275" t="str">
        <f>IF(AugerModel="Sinton","",IF(SampleType="n-type",n_intr_boltzmann(SampleDoping,0,K84,298.15),n_intr_boltzmann(0,SampleDoping,K84,298.15)))</f>
        <v/>
      </c>
      <c r="W84" s="275" t="str">
        <f t="shared" si="56"/>
        <v/>
      </c>
      <c r="X84" s="270">
        <f>IF(AND(A84&gt;TimeofMaxCD,I84&gt;Traps),IF(AugerModel="Sinton",CalcImpliedV(SampleDoping,O84),CalcImpliedVRichter(O84,SampleDoping,V84)),"")</f>
        <v>0.58733935353177635</v>
      </c>
      <c r="Y84" s="277">
        <f t="shared" si="52"/>
        <v>0.76129618749085448</v>
      </c>
      <c r="Z84" s="279">
        <f t="shared" si="53"/>
        <v>4.9070050023642163E-3</v>
      </c>
      <c r="AA84" s="279">
        <f t="shared" si="54"/>
        <v>8.3546334378200946E-3</v>
      </c>
      <c r="AB84" s="226" t="str">
        <f t="shared" si="55"/>
        <v/>
      </c>
    </row>
    <row r="85" spans="1:28">
      <c r="A85" s="268">
        <v>7.6499000000000003E-3</v>
      </c>
      <c r="B85" s="268">
        <v>0.51105800000000001</v>
      </c>
      <c r="C85" s="269">
        <v>5.1377999999999997E-3</v>
      </c>
      <c r="D85" s="270">
        <f>IF(CouplingMode="AC",B85-(A$11-A$10)*SUM(B$9:B85)/0.21,B85)</f>
        <v>0.51105800000000001</v>
      </c>
      <c r="E85" s="271">
        <f t="shared" si="41"/>
        <v>0.61086845509290455</v>
      </c>
      <c r="F85" s="271">
        <f t="shared" si="42"/>
        <v>0.61086845509290455</v>
      </c>
      <c r="G85" s="272">
        <f t="shared" si="43"/>
        <v>1.0143009304289176E+17</v>
      </c>
      <c r="H85" s="273">
        <f t="shared" si="44"/>
        <v>1.4209546943225355E-2</v>
      </c>
      <c r="I85" s="272">
        <f t="shared" si="45"/>
        <v>716021326909982.25</v>
      </c>
      <c r="J85" s="272">
        <f t="shared" si="46"/>
        <v>716021326909982.25</v>
      </c>
      <c r="K85" s="272">
        <f t="shared" si="47"/>
        <v>716021326909982.25</v>
      </c>
      <c r="L85" s="274">
        <f t="shared" si="57"/>
        <v>-2.3594636558078454E+17</v>
      </c>
      <c r="M85" s="223" t="str">
        <f t="shared" si="48"/>
        <v/>
      </c>
      <c r="N85" s="223" t="str">
        <f t="shared" si="49"/>
        <v/>
      </c>
      <c r="O85" s="274">
        <f t="shared" si="50"/>
        <v>716021326909982.25</v>
      </c>
      <c r="P85" s="272">
        <f t="shared" si="58"/>
        <v>4.2495166415825516E-4</v>
      </c>
      <c r="Q85" s="274">
        <f t="shared" si="59"/>
        <v>4.2495166415825516E-4</v>
      </c>
      <c r="R85" s="275">
        <f t="shared" si="62"/>
        <v>2353.2088101850391</v>
      </c>
      <c r="S85" s="276">
        <f>IF(AND(E85&gt;0.95*BiasLight,E85&lt;1.05*BiasLight),"",IF(AugerModel="Sinton",calclifetimeauger(Auger_Coefficient,I85,P85),calclifetimerichter(SampleType,I85,SampleDoping,P85)))</f>
        <v>2352.3577505276598</v>
      </c>
      <c r="T85" s="278">
        <f t="shared" si="61"/>
        <v>2352.3577505276598</v>
      </c>
      <c r="U85" s="276">
        <f t="shared" si="51"/>
        <v>2336.7780443181437</v>
      </c>
      <c r="V85" s="275" t="str">
        <f>IF(AugerModel="Sinton","",IF(SampleType="n-type",n_intr_boltzmann(SampleDoping,0,K85,298.15),n_intr_boltzmann(0,SampleDoping,K85,298.15)))</f>
        <v/>
      </c>
      <c r="W85" s="275" t="str">
        <f t="shared" si="56"/>
        <v/>
      </c>
      <c r="X85" s="270">
        <f>IF(AND(A85&gt;TimeofMaxCD,I85&gt;Traps),IF(AugerModel="Sinton",CalcImpliedV(SampleDoping,O85),CalcImpliedVRichter(O85,SampleDoping,V85)),"")</f>
        <v>0.58580625249519458</v>
      </c>
      <c r="Y85" s="277">
        <f t="shared" si="52"/>
        <v>0.71033847552985641</v>
      </c>
      <c r="Z85" s="279">
        <f t="shared" si="53"/>
        <v>5.9389936249664979E-3</v>
      </c>
      <c r="AA85" s="279">
        <f t="shared" si="54"/>
        <v>1.0138153356455027E-2</v>
      </c>
      <c r="AB85" s="226" t="str">
        <f t="shared" si="55"/>
        <v/>
      </c>
    </row>
    <row r="86" spans="1:28">
      <c r="A86" s="268">
        <v>7.7498999999999997E-3</v>
      </c>
      <c r="B86" s="268">
        <v>0.49434899999999998</v>
      </c>
      <c r="C86" s="269">
        <v>4.6993299999999998E-3</v>
      </c>
      <c r="D86" s="270">
        <f>IF(CouplingMode="AC",B86-(A$11-A$10)*SUM(B$9:B86)/0.21,B86)</f>
        <v>0.49434899999999998</v>
      </c>
      <c r="E86" s="271">
        <f t="shared" si="41"/>
        <v>0.55873573456960934</v>
      </c>
      <c r="F86" s="271">
        <f t="shared" si="42"/>
        <v>0.55873573456960934</v>
      </c>
      <c r="G86" s="272">
        <f t="shared" si="43"/>
        <v>9.277384856149568E+16</v>
      </c>
      <c r="H86" s="273">
        <f t="shared" si="44"/>
        <v>1.3743326633706971E-2</v>
      </c>
      <c r="I86" s="272">
        <f t="shared" si="45"/>
        <v>692266332516810.37</v>
      </c>
      <c r="J86" s="272" t="str">
        <f t="shared" si="46"/>
        <v/>
      </c>
      <c r="K86" s="272">
        <f t="shared" si="47"/>
        <v>692266332516810.37</v>
      </c>
      <c r="L86" s="274">
        <f t="shared" si="57"/>
        <v>-2.2885663357719104E+17</v>
      </c>
      <c r="M86" s="223" t="str">
        <f t="shared" si="48"/>
        <v/>
      </c>
      <c r="N86" s="223" t="str">
        <f t="shared" si="49"/>
        <v/>
      </c>
      <c r="O86" s="274">
        <f t="shared" si="50"/>
        <v>692266332516810.37</v>
      </c>
      <c r="P86" s="272">
        <f t="shared" si="58"/>
        <v>4.4541727125069528E-4</v>
      </c>
      <c r="Q86" s="274" t="str">
        <f t="shared" si="59"/>
        <v/>
      </c>
      <c r="R86" s="275" t="str">
        <f t="shared" si="62"/>
        <v/>
      </c>
      <c r="S86" s="276">
        <f>IF(AND(E86&gt;0.95*BiasLight,E86&lt;1.05*BiasLight),"",IF(AugerModel="Sinton",calclifetimeauger(Auger_Coefficient,I86,P86),calclifetimerichter(SampleType,I86,SampleDoping,P86)))</f>
        <v>2244.2902945045757</v>
      </c>
      <c r="T86" s="278" t="str">
        <f t="shared" si="61"/>
        <v/>
      </c>
      <c r="U86" s="276">
        <f t="shared" si="51"/>
        <v>2302.5036329954669</v>
      </c>
      <c r="V86" s="275" t="str">
        <f>IF(AugerModel="Sinton","",IF(SampleType="n-type",n_intr_boltzmann(SampleDoping,0,K86,298.15),n_intr_boltzmann(0,SampleDoping,K86,298.15)))</f>
        <v/>
      </c>
      <c r="W86" s="275" t="str">
        <f t="shared" si="56"/>
        <v/>
      </c>
      <c r="X86" s="270">
        <f>IF(AND(A86&gt;TimeofMaxCD,I86&gt;Traps),IF(AugerModel="Sinton",CalcImpliedV(SampleDoping,O86),CalcImpliedVRichter(O86,SampleDoping,V86)),"")</f>
        <v>0.58419070662778227</v>
      </c>
      <c r="Y86" s="277">
        <f t="shared" si="52"/>
        <v>0.65521687325136202</v>
      </c>
      <c r="Z86" s="279">
        <f t="shared" si="53"/>
        <v>7.0496684457018064E-3</v>
      </c>
      <c r="AA86" s="279">
        <f t="shared" si="54"/>
        <v>1.2067409436202331E-2</v>
      </c>
      <c r="AB86" s="226" t="str">
        <f t="shared" si="55"/>
        <v/>
      </c>
    </row>
    <row r="87" spans="1:28">
      <c r="A87" s="268">
        <v>7.8498999999999999E-3</v>
      </c>
      <c r="B87" s="268">
        <v>0.47872399999999998</v>
      </c>
      <c r="C87" s="269">
        <v>4.8077299999999996E-3</v>
      </c>
      <c r="D87" s="270">
        <f>IF(CouplingMode="AC",B87-(A$11-A$10)*SUM(B$9:B87)/0.21,B87)</f>
        <v>0.47872399999999998</v>
      </c>
      <c r="E87" s="271">
        <f t="shared" si="41"/>
        <v>0.57162415773362329</v>
      </c>
      <c r="F87" s="271">
        <f t="shared" si="42"/>
        <v>0.57162415773362329</v>
      </c>
      <c r="G87" s="272">
        <f t="shared" si="43"/>
        <v>9.4913873880863776E+16</v>
      </c>
      <c r="H87" s="273">
        <f t="shared" si="44"/>
        <v>1.3307452796371584E-2</v>
      </c>
      <c r="I87" s="272">
        <f t="shared" si="45"/>
        <v>670072716891285.62</v>
      </c>
      <c r="J87" s="272" t="str">
        <f t="shared" si="46"/>
        <v/>
      </c>
      <c r="K87" s="272">
        <f t="shared" si="47"/>
        <v>670072716891285.62</v>
      </c>
      <c r="L87" s="274">
        <f t="shared" si="57"/>
        <v>-2.2492284033714874E+17</v>
      </c>
      <c r="M87" s="223" t="str">
        <f t="shared" si="48"/>
        <v/>
      </c>
      <c r="N87" s="223" t="str">
        <f t="shared" si="49"/>
        <v/>
      </c>
      <c r="O87" s="274">
        <f t="shared" si="50"/>
        <v>670072716891285.62</v>
      </c>
      <c r="P87" s="272">
        <f t="shared" si="58"/>
        <v>4.2387256064575838E-4</v>
      </c>
      <c r="Q87" s="274" t="str">
        <f t="shared" si="59"/>
        <v/>
      </c>
      <c r="R87" s="275" t="str">
        <f t="shared" si="62"/>
        <v/>
      </c>
      <c r="S87" s="276">
        <f>IF(AND(E87&gt;0.95*BiasLight,E87&lt;1.05*BiasLight),"",IF(AugerModel="Sinton",calclifetimeauger(Auger_Coefficient,I87,P87),calclifetimerichter(SampleType,I87,SampleDoping,P87)))</f>
        <v>2358.4543219777624</v>
      </c>
      <c r="T87" s="278" t="str">
        <f t="shared" si="61"/>
        <v/>
      </c>
      <c r="U87" s="276">
        <f t="shared" si="51"/>
        <v>2270.4820253243961</v>
      </c>
      <c r="V87" s="275" t="str">
        <f>IF(AugerModel="Sinton","",IF(SampleType="n-type",n_intr_boltzmann(SampleDoping,0,K87,298.15),n_intr_boltzmann(0,SampleDoping,K87,298.15)))</f>
        <v/>
      </c>
      <c r="W87" s="275" t="str">
        <f t="shared" si="56"/>
        <v/>
      </c>
      <c r="X87" s="270">
        <f>IF(AND(A87&gt;TimeofMaxCD,I87&gt;Traps),IF(AugerModel="Sinton",CalcImpliedV(SampleDoping,O87),CalcImpliedVRichter(O87,SampleDoping,V87)),"")</f>
        <v>0.58263375415853114</v>
      </c>
      <c r="Y87" s="277">
        <f t="shared" si="52"/>
        <v>0.66644689200207385</v>
      </c>
      <c r="Z87" s="279">
        <f t="shared" si="53"/>
        <v>6.8018754833427198E-3</v>
      </c>
      <c r="AA87" s="279">
        <f t="shared" si="54"/>
        <v>1.1674358779927417E-2</v>
      </c>
      <c r="AB87" s="226" t="str">
        <f t="shared" si="55"/>
        <v/>
      </c>
    </row>
    <row r="88" spans="1:28">
      <c r="A88" s="268">
        <v>7.9498999999999993E-3</v>
      </c>
      <c r="B88" s="268">
        <v>0.46304000000000001</v>
      </c>
      <c r="C88" s="269">
        <v>4.1441500000000001E-3</v>
      </c>
      <c r="D88" s="270">
        <f>IF(CouplingMode="AC",B88-(A$11-A$10)*SUM(B$9:B88)/0.21,B88)</f>
        <v>0.46304000000000001</v>
      </c>
      <c r="E88" s="271">
        <f t="shared" si="41"/>
        <v>0.492726557704321</v>
      </c>
      <c r="F88" s="271">
        <f t="shared" si="42"/>
        <v>0.492726557704321</v>
      </c>
      <c r="G88" s="272">
        <f t="shared" si="43"/>
        <v>8.1813523314200624E+16</v>
      </c>
      <c r="H88" s="273">
        <f t="shared" si="44"/>
        <v>1.287003061426434E-2</v>
      </c>
      <c r="I88" s="272">
        <f t="shared" si="45"/>
        <v>647815047428276.62</v>
      </c>
      <c r="J88" s="272" t="str">
        <f t="shared" si="46"/>
        <v/>
      </c>
      <c r="K88" s="272">
        <f t="shared" si="47"/>
        <v>647815047428276.62</v>
      </c>
      <c r="L88" s="274">
        <f t="shared" si="57"/>
        <v>-2.1819873653654144E+17</v>
      </c>
      <c r="M88" s="223" t="str">
        <f t="shared" si="48"/>
        <v/>
      </c>
      <c r="N88" s="223" t="str">
        <f t="shared" si="49"/>
        <v/>
      </c>
      <c r="O88" s="274">
        <f t="shared" si="50"/>
        <v>647815047428276.62</v>
      </c>
      <c r="P88" s="272">
        <f t="shared" si="58"/>
        <v>4.6707437867606321E-4</v>
      </c>
      <c r="Q88" s="274" t="str">
        <f t="shared" si="59"/>
        <v/>
      </c>
      <c r="R88" s="275" t="str">
        <f t="shared" si="62"/>
        <v/>
      </c>
      <c r="S88" s="276">
        <f>IF(AND(E88&gt;0.95*BiasLight,E88&lt;1.05*BiasLight),"",IF(AugerModel="Sinton",calclifetimeauger(Auger_Coefficient,I88,P88),calclifetimerichter(SampleType,I88,SampleDoping,P88)))</f>
        <v>2140.2899872862608</v>
      </c>
      <c r="T88" s="278" t="str">
        <f t="shared" si="61"/>
        <v/>
      </c>
      <c r="U88" s="276">
        <f t="shared" si="51"/>
        <v>2238.3679988745043</v>
      </c>
      <c r="V88" s="275" t="str">
        <f>IF(AugerModel="Sinton","",IF(SampleType="n-type",n_intr_boltzmann(SampleDoping,0,K88,298.15),n_intr_boltzmann(0,SampleDoping,K88,298.15)))</f>
        <v/>
      </c>
      <c r="W88" s="275" t="str">
        <f t="shared" si="56"/>
        <v/>
      </c>
      <c r="X88" s="270">
        <f>IF(AND(A88&gt;TimeofMaxCD,I88&gt;Traps),IF(AugerModel="Sinton",CalcImpliedV(SampleDoping,O88),CalcImpliedVRichter(O88,SampleDoping,V88)),"")</f>
        <v>0.58102314126138288</v>
      </c>
      <c r="Y88" s="277">
        <f t="shared" si="52"/>
        <v>0.58471455137051564</v>
      </c>
      <c r="Z88" s="279">
        <f t="shared" si="53"/>
        <v>8.4451659558995983E-3</v>
      </c>
      <c r="AA88" s="279">
        <f t="shared" si="54"/>
        <v>1.4534990702031955E-2</v>
      </c>
      <c r="AB88" s="226" t="str">
        <f t="shared" si="55"/>
        <v/>
      </c>
    </row>
    <row r="89" spans="1:28">
      <c r="A89" s="268">
        <v>8.0499000000000005E-3</v>
      </c>
      <c r="B89" s="268">
        <v>0.44750299999999998</v>
      </c>
      <c r="C89" s="269">
        <v>4.4034299999999998E-3</v>
      </c>
      <c r="D89" s="270">
        <f>IF(CouplingMode="AC",B89-(A$11-A$10)*SUM(B$9:B89)/0.21,B89)</f>
        <v>0.44750299999999998</v>
      </c>
      <c r="E89" s="271">
        <f t="shared" si="41"/>
        <v>0.52355414403241629</v>
      </c>
      <c r="F89" s="271">
        <f t="shared" si="42"/>
        <v>0.52355414403241629</v>
      </c>
      <c r="G89" s="272">
        <f t="shared" si="43"/>
        <v>8.6932211181412432E+16</v>
      </c>
      <c r="H89" s="273">
        <f t="shared" si="44"/>
        <v>1.2436804548604342E-2</v>
      </c>
      <c r="I89" s="272">
        <f t="shared" si="45"/>
        <v>625785549285674.75</v>
      </c>
      <c r="J89" s="272" t="str">
        <f t="shared" si="46"/>
        <v/>
      </c>
      <c r="K89" s="272">
        <f t="shared" si="47"/>
        <v>625785549285674.75</v>
      </c>
      <c r="L89" s="274">
        <f t="shared" si="57"/>
        <v>-2.1117631304328381E+17</v>
      </c>
      <c r="M89" s="223" t="str">
        <f t="shared" si="48"/>
        <v/>
      </c>
      <c r="N89" s="223" t="str">
        <f t="shared" si="49"/>
        <v/>
      </c>
      <c r="O89" s="274">
        <f t="shared" si="50"/>
        <v>625785549285674.75</v>
      </c>
      <c r="P89" s="272">
        <f t="shared" si="58"/>
        <v>4.3066588917049222E-4</v>
      </c>
      <c r="Q89" s="274" t="str">
        <f t="shared" si="59"/>
        <v/>
      </c>
      <c r="R89" s="275" t="str">
        <f t="shared" si="62"/>
        <v/>
      </c>
      <c r="S89" s="276">
        <f>IF(AND(E89&gt;0.95*BiasLight,E89&lt;1.05*BiasLight),"",IF(AugerModel="Sinton",calclifetimeauger(Auger_Coefficient,I89,P89),calclifetimerichter(SampleType,I89,SampleDoping,P89)))</f>
        <v>2321.3355475636536</v>
      </c>
      <c r="T89" s="278" t="str">
        <f t="shared" si="61"/>
        <v/>
      </c>
      <c r="U89" s="276">
        <f t="shared" si="51"/>
        <v>2206.5831847813165</v>
      </c>
      <c r="V89" s="275" t="str">
        <f>IF(AugerModel="Sinton","",IF(SampleType="n-type",n_intr_boltzmann(SampleDoping,0,K89,298.15),n_intr_boltzmann(0,SampleDoping,K89,298.15)))</f>
        <v/>
      </c>
      <c r="W89" s="275" t="str">
        <f t="shared" si="56"/>
        <v/>
      </c>
      <c r="X89" s="270">
        <f>IF(AND(A89&gt;TimeofMaxCD,I89&gt;Traps),IF(AugerModel="Sinton",CalcImpliedV(SampleDoping,O89),CalcImpliedVRichter(O89,SampleDoping,V89)),"")</f>
        <v>0.57937739344696393</v>
      </c>
      <c r="Y89" s="277">
        <f t="shared" si="52"/>
        <v>0.6125816317943481</v>
      </c>
      <c r="Z89" s="279">
        <f t="shared" si="53"/>
        <v>7.8561505520563357E-3</v>
      </c>
      <c r="AA89" s="279">
        <f t="shared" si="54"/>
        <v>1.3559642887197817E-2</v>
      </c>
      <c r="AB89" s="226" t="str">
        <f t="shared" si="55"/>
        <v/>
      </c>
    </row>
    <row r="90" spans="1:28">
      <c r="A90" s="268">
        <v>8.1498999999999999E-3</v>
      </c>
      <c r="B90" s="268">
        <v>0.43304999999999999</v>
      </c>
      <c r="C90" s="269">
        <v>4.1426900000000001E-3</v>
      </c>
      <c r="D90" s="270">
        <f>IF(CouplingMode="AC",B90-(A$11-A$10)*SUM(B$9:B90)/0.21,B90)</f>
        <v>0.43304999999999999</v>
      </c>
      <c r="E90" s="271">
        <f t="shared" si="41"/>
        <v>0.49255296824104189</v>
      </c>
      <c r="F90" s="271">
        <f t="shared" si="42"/>
        <v>0.49255296824104189</v>
      </c>
      <c r="G90" s="272">
        <f t="shared" si="43"/>
        <v>8.1784700094954528E+16</v>
      </c>
      <c r="H90" s="273">
        <f t="shared" si="44"/>
        <v>1.2033890281164602E-2</v>
      </c>
      <c r="I90" s="272">
        <f t="shared" si="45"/>
        <v>605310548051345</v>
      </c>
      <c r="J90" s="272" t="str">
        <f t="shared" si="46"/>
        <v/>
      </c>
      <c r="K90" s="272">
        <f t="shared" si="47"/>
        <v>605310548051345</v>
      </c>
      <c r="L90" s="274">
        <f t="shared" si="57"/>
        <v>-2.0415010603603571E+17</v>
      </c>
      <c r="M90" s="223" t="str">
        <f t="shared" si="48"/>
        <v/>
      </c>
      <c r="N90" s="223" t="str">
        <f t="shared" si="49"/>
        <v/>
      </c>
      <c r="O90" s="274">
        <f t="shared" si="50"/>
        <v>605310548051345</v>
      </c>
      <c r="P90" s="272">
        <f t="shared" si="58"/>
        <v>4.4102676911612519E-4</v>
      </c>
      <c r="Q90" s="274" t="str">
        <f t="shared" si="59"/>
        <v/>
      </c>
      <c r="R90" s="275" t="str">
        <f t="shared" si="62"/>
        <v/>
      </c>
      <c r="S90" s="276">
        <f>IF(AND(E90&gt;0.95*BiasLight,E90&lt;1.05*BiasLight),"",IF(AugerModel="Sinton",calclifetimeauger(Auger_Coefficient,I90,P90),calclifetimerichter(SampleType,I90,SampleDoping,P90)))</f>
        <v>2266.8278352097973</v>
      </c>
      <c r="T90" s="278" t="str">
        <f t="shared" si="61"/>
        <v/>
      </c>
      <c r="U90" s="276">
        <f t="shared" si="51"/>
        <v>2177.0412449886699</v>
      </c>
      <c r="V90" s="275" t="str">
        <f>IF(AugerModel="Sinton","",IF(SampleType="n-type",n_intr_boltzmann(SampleDoping,0,K90,298.15),n_intr_boltzmann(0,SampleDoping,K90,298.15)))</f>
        <v/>
      </c>
      <c r="W90" s="275" t="str">
        <f t="shared" si="56"/>
        <v/>
      </c>
      <c r="X90" s="270">
        <f>IF(AND(A90&gt;TimeofMaxCD,I90&gt;Traps),IF(AugerModel="Sinton",CalcImpliedV(SampleDoping,O90),CalcImpliedVRichter(O90,SampleDoping,V90)),"")</f>
        <v>0.57779868514935206</v>
      </c>
      <c r="Y90" s="277">
        <f t="shared" si="52"/>
        <v>0.57861835504886538</v>
      </c>
      <c r="Z90" s="279">
        <f t="shared" si="53"/>
        <v>8.5215816139592847E-3</v>
      </c>
      <c r="AA90" s="279">
        <f t="shared" si="54"/>
        <v>1.4748357573289713E-2</v>
      </c>
      <c r="AB90" s="226" t="str">
        <f t="shared" si="55"/>
        <v/>
      </c>
    </row>
    <row r="91" spans="1:28">
      <c r="A91" s="268">
        <v>8.2498999999999992E-3</v>
      </c>
      <c r="B91" s="268">
        <v>0.41922199999999998</v>
      </c>
      <c r="C91" s="269">
        <v>3.63927E-3</v>
      </c>
      <c r="D91" s="270">
        <f>IF(CouplingMode="AC",B91-(A$11-A$10)*SUM(B$9:B91)/0.21,B91)</f>
        <v>0.41922199999999998</v>
      </c>
      <c r="E91" s="271">
        <f t="shared" si="41"/>
        <v>0.43269789453967744</v>
      </c>
      <c r="F91" s="271">
        <f t="shared" si="42"/>
        <v>0.43269789453967744</v>
      </c>
      <c r="G91" s="272">
        <f t="shared" si="43"/>
        <v>7.1846217195726704E+16</v>
      </c>
      <c r="H91" s="273">
        <f t="shared" si="44"/>
        <v>1.1648477144341238E-2</v>
      </c>
      <c r="I91" s="272">
        <f t="shared" si="45"/>
        <v>585736810058109.62</v>
      </c>
      <c r="J91" s="272" t="str">
        <f t="shared" si="46"/>
        <v/>
      </c>
      <c r="K91" s="272">
        <f t="shared" si="47"/>
        <v>585736810058109.62</v>
      </c>
      <c r="L91" s="274">
        <f t="shared" si="57"/>
        <v>-1.967151183456399E+17</v>
      </c>
      <c r="M91" s="223" t="str">
        <f t="shared" si="48"/>
        <v/>
      </c>
      <c r="N91" s="223" t="str">
        <f t="shared" si="49"/>
        <v/>
      </c>
      <c r="O91" s="274">
        <f t="shared" si="50"/>
        <v>585736810058109.62</v>
      </c>
      <c r="P91" s="272">
        <f t="shared" si="58"/>
        <v>4.7889932695896421E-4</v>
      </c>
      <c r="Q91" s="274" t="str">
        <f t="shared" si="59"/>
        <v/>
      </c>
      <c r="R91" s="275" t="str">
        <f t="shared" si="62"/>
        <v/>
      </c>
      <c r="S91" s="276">
        <f>IF(AND(E91&gt;0.95*BiasLight,E91&lt;1.05*BiasLight),"",IF(AugerModel="Sinton",calclifetimeauger(Auger_Coefficient,I91,P91),calclifetimerichter(SampleType,I91,SampleDoping,P91)))</f>
        <v>2087.5520143271865</v>
      </c>
      <c r="T91" s="278" t="str">
        <f t="shared" si="61"/>
        <v/>
      </c>
      <c r="U91" s="276">
        <f t="shared" si="51"/>
        <v>2148.7996745635764</v>
      </c>
      <c r="V91" s="275" t="str">
        <f>IF(AugerModel="Sinton","",IF(SampleType="n-type",n_intr_boltzmann(SampleDoping,0,K91,298.15),n_intr_boltzmann(0,SampleDoping,K91,298.15)))</f>
        <v/>
      </c>
      <c r="W91" s="275" t="str">
        <f t="shared" si="56"/>
        <v/>
      </c>
      <c r="X91" s="270">
        <f>IF(AND(A91&gt;TimeofMaxCD,I91&gt;Traps),IF(AugerModel="Sinton",CalcImpliedV(SampleDoping,O91),CalcImpliedVRichter(O91,SampleDoping,V91)),"")</f>
        <v>0.57624237894500518</v>
      </c>
      <c r="Y91" s="277">
        <f t="shared" si="52"/>
        <v>0.51562884706328671</v>
      </c>
      <c r="Z91" s="279">
        <f t="shared" si="53"/>
        <v>9.7690314911205323E-3</v>
      </c>
      <c r="AA91" s="279">
        <f t="shared" si="54"/>
        <v>1.6952990352784966E-2</v>
      </c>
      <c r="AB91" s="226" t="str">
        <f t="shared" si="55"/>
        <v/>
      </c>
    </row>
    <row r="92" spans="1:28">
      <c r="A92" s="268">
        <v>8.3499000000000004E-3</v>
      </c>
      <c r="B92" s="268">
        <v>0.40510099999999999</v>
      </c>
      <c r="C92" s="269">
        <v>3.9156399999999997E-3</v>
      </c>
      <c r="D92" s="270">
        <f>IF(CouplingMode="AC",B92-(A$11-A$10)*SUM(B$9:B92)/0.21,B92)</f>
        <v>0.40510099999999999</v>
      </c>
      <c r="E92" s="271">
        <f t="shared" si="41"/>
        <v>0.46555742876328016</v>
      </c>
      <c r="F92" s="271">
        <f t="shared" si="42"/>
        <v>0.46555742876328016</v>
      </c>
      <c r="G92" s="272">
        <f t="shared" si="43"/>
        <v>7.7302294663565856E+16</v>
      </c>
      <c r="H92" s="273">
        <f t="shared" si="44"/>
        <v>1.125497590493838E-2</v>
      </c>
      <c r="I92" s="272">
        <f t="shared" si="45"/>
        <v>565764364024041.25</v>
      </c>
      <c r="J92" s="272" t="str">
        <f t="shared" si="46"/>
        <v/>
      </c>
      <c r="K92" s="272">
        <f t="shared" si="47"/>
        <v>565764364024041.25</v>
      </c>
      <c r="L92" s="274">
        <f t="shared" si="57"/>
        <v>-1.9394788505076982E+17</v>
      </c>
      <c r="M92" s="223" t="str">
        <f t="shared" si="48"/>
        <v/>
      </c>
      <c r="N92" s="223" t="str">
        <f t="shared" si="49"/>
        <v/>
      </c>
      <c r="O92" s="274">
        <f t="shared" si="50"/>
        <v>565764364024041.25</v>
      </c>
      <c r="P92" s="272">
        <f t="shared" si="58"/>
        <v>4.357844989542612E-4</v>
      </c>
      <c r="Q92" s="274" t="str">
        <f t="shared" si="59"/>
        <v/>
      </c>
      <c r="R92" s="275" t="str">
        <f t="shared" si="62"/>
        <v/>
      </c>
      <c r="S92" s="276">
        <f>IF(AND(E92&gt;0.95*BiasLight,E92&lt;1.05*BiasLight),"",IF(AugerModel="Sinton",calclifetimeauger(Auger_Coefficient,I92,P92),calclifetimerichter(SampleType,I92,SampleDoping,P92)))</f>
        <v>2294.1808372307</v>
      </c>
      <c r="T92" s="278" t="str">
        <f t="shared" si="61"/>
        <v/>
      </c>
      <c r="U92" s="276">
        <f t="shared" si="51"/>
        <v>2119.9828363374054</v>
      </c>
      <c r="V92" s="275" t="str">
        <f>IF(AugerModel="Sinton","",IF(SampleType="n-type",n_intr_boltzmann(SampleDoping,0,K92,298.15),n_intr_boltzmann(0,SampleDoping,K92,298.15)))</f>
        <v/>
      </c>
      <c r="W92" s="275" t="str">
        <f t="shared" si="56"/>
        <v/>
      </c>
      <c r="X92" s="270">
        <f>IF(AND(A92&gt;TimeofMaxCD,I92&gt;Traps),IF(AugerModel="Sinton",CalcImpliedV(SampleDoping,O92),CalcImpliedVRichter(O92,SampleDoping,V92)),"")</f>
        <v>0.5746038497825714</v>
      </c>
      <c r="Y92" s="277">
        <f t="shared" si="52"/>
        <v>0.54732177398731519</v>
      </c>
      <c r="Z92" s="279">
        <f t="shared" si="53"/>
        <v>9.1038727982871784E-3</v>
      </c>
      <c r="AA92" s="279">
        <f t="shared" si="54"/>
        <v>1.584373791044397E-2</v>
      </c>
      <c r="AB92" s="226" t="str">
        <f t="shared" si="55"/>
        <v/>
      </c>
    </row>
    <row r="93" spans="1:28">
      <c r="A93" s="268">
        <v>8.4498999999999998E-3</v>
      </c>
      <c r="B93" s="268">
        <v>0.39196599999999998</v>
      </c>
      <c r="C93" s="269">
        <v>3.5450299999999998E-3</v>
      </c>
      <c r="D93" s="270">
        <f>IF(CouplingMode="AC",B93-(A$11-A$10)*SUM(B$9:B93)/0.21,B93)</f>
        <v>0.39196599999999998</v>
      </c>
      <c r="E93" s="271">
        <f t="shared" si="41"/>
        <v>0.42149305137568599</v>
      </c>
      <c r="F93" s="271">
        <f t="shared" si="42"/>
        <v>0.42149305137568599</v>
      </c>
      <c r="G93" s="272">
        <f t="shared" si="43"/>
        <v>6.9985737619183816E+16</v>
      </c>
      <c r="H93" s="273">
        <f t="shared" si="44"/>
        <v>1.0889022016961673E-2</v>
      </c>
      <c r="I93" s="272">
        <f t="shared" si="45"/>
        <v>547201082126506.75</v>
      </c>
      <c r="J93" s="272" t="str">
        <f t="shared" si="46"/>
        <v/>
      </c>
      <c r="K93" s="272">
        <f t="shared" si="47"/>
        <v>547201082126506.75</v>
      </c>
      <c r="L93" s="274">
        <f t="shared" si="57"/>
        <v>-1.8895971724934285E+17</v>
      </c>
      <c r="M93" s="223" t="str">
        <f t="shared" si="48"/>
        <v/>
      </c>
      <c r="N93" s="223" t="str">
        <f t="shared" si="49"/>
        <v/>
      </c>
      <c r="O93" s="274">
        <f t="shared" si="50"/>
        <v>547201082126506.75</v>
      </c>
      <c r="P93" s="272">
        <f t="shared" si="58"/>
        <v>4.6031405639033741E-4</v>
      </c>
      <c r="Q93" s="274" t="str">
        <f t="shared" si="59"/>
        <v/>
      </c>
      <c r="R93" s="275" t="str">
        <f t="shared" si="62"/>
        <v/>
      </c>
      <c r="S93" s="276">
        <f>IF(AND(E93&gt;0.95*BiasLight,E93&lt;1.05*BiasLight),"",IF(AugerModel="Sinton",calclifetimeauger(Auger_Coefficient,I93,P93),calclifetimerichter(SampleType,I93,SampleDoping,P93)))</f>
        <v>2171.9328054732687</v>
      </c>
      <c r="T93" s="278" t="str">
        <f t="shared" si="61"/>
        <v/>
      </c>
      <c r="U93" s="276">
        <f t="shared" si="51"/>
        <v>2093.1991819730088</v>
      </c>
      <c r="V93" s="275" t="str">
        <f>IF(AugerModel="Sinton","",IF(SampleType="n-type",n_intr_boltzmann(SampleDoping,0,K93,298.15),n_intr_boltzmann(0,SampleDoping,K93,298.15)))</f>
        <v/>
      </c>
      <c r="W93" s="275" t="str">
        <f t="shared" si="56"/>
        <v/>
      </c>
      <c r="X93" s="270">
        <f>IF(AND(A93&gt;TimeofMaxCD,I93&gt;Traps),IF(AugerModel="Sinton",CalcImpliedV(SampleDoping,O93),CalcImpliedVRichter(O93,SampleDoping,V93)),"")</f>
        <v>0.57303220503498165</v>
      </c>
      <c r="Y93" s="277">
        <f t="shared" si="52"/>
        <v>0.5011544900686985</v>
      </c>
      <c r="Z93" s="279">
        <f t="shared" si="53"/>
        <v>1.0004908988470673E-2</v>
      </c>
      <c r="AA93" s="279">
        <f t="shared" si="54"/>
        <v>1.7459592847595556E-2</v>
      </c>
      <c r="AB93" s="226" t="str">
        <f t="shared" si="55"/>
        <v/>
      </c>
    </row>
    <row r="94" spans="1:28">
      <c r="A94" s="268">
        <v>8.5498999999999992E-3</v>
      </c>
      <c r="B94" s="268">
        <v>0.37808900000000001</v>
      </c>
      <c r="C94" s="269">
        <v>3.2134899999999998E-3</v>
      </c>
      <c r="D94" s="270">
        <f>IF(CouplingMode="AC",B94-(A$11-A$10)*SUM(B$9:B94)/0.21,B94)</f>
        <v>0.37808900000000001</v>
      </c>
      <c r="E94" s="271">
        <f t="shared" si="41"/>
        <v>0.38207397558419903</v>
      </c>
      <c r="F94" s="271">
        <f t="shared" si="42"/>
        <v>0.38207397558419903</v>
      </c>
      <c r="G94" s="272">
        <f t="shared" si="43"/>
        <v>6.344049781859984E+16</v>
      </c>
      <c r="H94" s="273">
        <f t="shared" si="44"/>
        <v>1.0502469724983728E-2</v>
      </c>
      <c r="I94" s="272">
        <f t="shared" si="45"/>
        <v>527604469491761.62</v>
      </c>
      <c r="J94" s="272" t="str">
        <f t="shared" si="46"/>
        <v/>
      </c>
      <c r="K94" s="272">
        <f t="shared" si="47"/>
        <v>527604469491761.62</v>
      </c>
      <c r="L94" s="274">
        <f t="shared" si="57"/>
        <v>-1.8327273136839344E+17</v>
      </c>
      <c r="M94" s="223" t="str">
        <f t="shared" si="48"/>
        <v/>
      </c>
      <c r="N94" s="223" t="str">
        <f t="shared" si="49"/>
        <v/>
      </c>
      <c r="O94" s="274">
        <f t="shared" si="50"/>
        <v>527604469491761.62</v>
      </c>
      <c r="P94" s="272">
        <f t="shared" si="58"/>
        <v>4.8423379936473064E-4</v>
      </c>
      <c r="Q94" s="274" t="str">
        <f t="shared" si="59"/>
        <v/>
      </c>
      <c r="R94" s="275" t="str">
        <f t="shared" si="62"/>
        <v/>
      </c>
      <c r="S94" s="276">
        <f>IF(AND(E94&gt;0.95*BiasLight,E94&lt;1.05*BiasLight),"",IF(AugerModel="Sinton",calclifetimeauger(Auger_Coefficient,I94,P94),calclifetimerichter(SampleType,I94,SampleDoping,P94)))</f>
        <v>2064.6560453111483</v>
      </c>
      <c r="T94" s="278" t="str">
        <f t="shared" si="61"/>
        <v/>
      </c>
      <c r="U94" s="276">
        <f t="shared" si="51"/>
        <v>2064.9246073358754</v>
      </c>
      <c r="V94" s="275" t="str">
        <f>IF(AugerModel="Sinton","",IF(SampleType="n-type",n_intr_boltzmann(SampleDoping,0,K94,298.15),n_intr_boltzmann(0,SampleDoping,K94,298.15)))</f>
        <v/>
      </c>
      <c r="W94" s="275" t="str">
        <f t="shared" si="56"/>
        <v/>
      </c>
      <c r="X94" s="270">
        <f>IF(AND(A94&gt;TimeofMaxCD,I94&gt;Traps),IF(AugerModel="Sinton",CalcImpliedV(SampleDoping,O94),CalcImpliedVRichter(O94,SampleDoping,V94)),"")</f>
        <v>0.57131872471955114</v>
      </c>
      <c r="Y94" s="277">
        <f t="shared" si="52"/>
        <v>0.45933790075582176</v>
      </c>
      <c r="Z94" s="279">
        <f t="shared" si="53"/>
        <v>1.0811163336553275E-2</v>
      </c>
      <c r="AA94" s="279">
        <f t="shared" si="54"/>
        <v>1.8923173473546238E-2</v>
      </c>
      <c r="AB94" s="226" t="str">
        <f t="shared" si="55"/>
        <v/>
      </c>
    </row>
    <row r="95" spans="1:28">
      <c r="A95" s="268">
        <v>8.6499000000000003E-3</v>
      </c>
      <c r="B95" s="268">
        <v>0.36585200000000001</v>
      </c>
      <c r="C95" s="269">
        <v>3.4610499999999998E-3</v>
      </c>
      <c r="D95" s="270">
        <f>IF(CouplingMode="AC",B95-(A$11-A$10)*SUM(B$9:B95)/0.21,B95)</f>
        <v>0.36585200000000001</v>
      </c>
      <c r="E95" s="271">
        <f t="shared" si="41"/>
        <v>0.41150809033035485</v>
      </c>
      <c r="F95" s="271">
        <f t="shared" si="42"/>
        <v>0.41150809033035485</v>
      </c>
      <c r="G95" s="272">
        <f t="shared" si="43"/>
        <v>6.8327810254603232E+16</v>
      </c>
      <c r="H95" s="273">
        <f t="shared" si="44"/>
        <v>1.0161664091433324E-2</v>
      </c>
      <c r="I95" s="272">
        <f t="shared" si="45"/>
        <v>510336898699577.94</v>
      </c>
      <c r="J95" s="272" t="str">
        <f t="shared" si="46"/>
        <v/>
      </c>
      <c r="K95" s="272">
        <f t="shared" si="47"/>
        <v>510336898699577.94</v>
      </c>
      <c r="L95" s="274">
        <f t="shared" si="57"/>
        <v>-1.7908473350008765E+17</v>
      </c>
      <c r="M95" s="223" t="str">
        <f t="shared" si="48"/>
        <v/>
      </c>
      <c r="N95" s="223" t="str">
        <f t="shared" si="49"/>
        <v/>
      </c>
      <c r="O95" s="274">
        <f t="shared" si="50"/>
        <v>510336898699577.94</v>
      </c>
      <c r="P95" s="272">
        <f t="shared" si="58"/>
        <v>4.4177504283505759E-4</v>
      </c>
      <c r="Q95" s="274" t="str">
        <f t="shared" si="59"/>
        <v/>
      </c>
      <c r="R95" s="275" t="str">
        <f t="shared" si="62"/>
        <v/>
      </c>
      <c r="S95" s="276">
        <f>IF(AND(E95&gt;0.95*BiasLight,E95&lt;1.05*BiasLight),"",IF(AugerModel="Sinton",calclifetimeauger(Auger_Coefficient,I95,P95),calclifetimerichter(SampleType,I95,SampleDoping,P95)))</f>
        <v>2263.1631656977402</v>
      </c>
      <c r="T95" s="278" t="str">
        <f t="shared" si="61"/>
        <v/>
      </c>
      <c r="U95" s="276">
        <f t="shared" si="51"/>
        <v>2040.0104434308369</v>
      </c>
      <c r="V95" s="275" t="str">
        <f>IF(AugerModel="Sinton","",IF(SampleType="n-type",n_intr_boltzmann(SampleDoping,0,K95,298.15),n_intr_boltzmann(0,SampleDoping,K95,298.15)))</f>
        <v/>
      </c>
      <c r="W95" s="275" t="str">
        <f t="shared" si="56"/>
        <v/>
      </c>
      <c r="X95" s="270">
        <f>IF(AND(A95&gt;TimeofMaxCD,I95&gt;Traps),IF(AugerModel="Sinton",CalcImpliedV(SampleDoping,O95),CalcImpliedVRichter(O95,SampleDoping,V95)),"")</f>
        <v>0.56975957104871877</v>
      </c>
      <c r="Y95" s="277">
        <f t="shared" si="52"/>
        <v>0.48700644376907604</v>
      </c>
      <c r="Z95" s="279">
        <f t="shared" si="53"/>
        <v>1.0229904599211083E-2</v>
      </c>
      <c r="AA95" s="279">
        <f t="shared" si="54"/>
        <v>1.7954774468082343E-2</v>
      </c>
      <c r="AB95" s="226" t="str">
        <f t="shared" si="55"/>
        <v/>
      </c>
    </row>
    <row r="96" spans="1:28">
      <c r="A96" s="268">
        <v>8.7498999999999997E-3</v>
      </c>
      <c r="B96" s="268">
        <v>0.35324499999999998</v>
      </c>
      <c r="C96" s="269">
        <v>2.9673899999999999E-3</v>
      </c>
      <c r="D96" s="270">
        <f>IF(CouplingMode="AC",B96-(A$11-A$10)*SUM(B$9:B96)/0.21,B96)</f>
        <v>0.35324499999999998</v>
      </c>
      <c r="E96" s="271">
        <f t="shared" si="41"/>
        <v>0.35281345030132238</v>
      </c>
      <c r="F96" s="271">
        <f t="shared" si="42"/>
        <v>0.35281345030132238</v>
      </c>
      <c r="G96" s="272">
        <f t="shared" si="43"/>
        <v>5.8582008601842544E+16</v>
      </c>
      <c r="H96" s="273">
        <f t="shared" si="44"/>
        <v>9.8106159993708204E-3</v>
      </c>
      <c r="I96" s="272">
        <f t="shared" si="45"/>
        <v>492560090053309</v>
      </c>
      <c r="J96" s="272" t="str">
        <f t="shared" si="46"/>
        <v/>
      </c>
      <c r="K96" s="272">
        <f t="shared" si="47"/>
        <v>492560090053309</v>
      </c>
      <c r="L96" s="274">
        <f t="shared" si="57"/>
        <v>-1.7196064528220637E+17</v>
      </c>
      <c r="M96" s="223" t="str">
        <f t="shared" si="48"/>
        <v/>
      </c>
      <c r="N96" s="223" t="str">
        <f t="shared" si="49"/>
        <v/>
      </c>
      <c r="O96" s="274">
        <f t="shared" si="50"/>
        <v>492560090053309</v>
      </c>
      <c r="P96" s="272">
        <f t="shared" si="58"/>
        <v>4.8824087571425374E-4</v>
      </c>
      <c r="Q96" s="274" t="str">
        <f t="shared" si="59"/>
        <v/>
      </c>
      <c r="R96" s="275" t="str">
        <f t="shared" si="62"/>
        <v/>
      </c>
      <c r="S96" s="276">
        <f>IF(AND(E96&gt;0.95*BiasLight,E96&lt;1.05*BiasLight),"",IF(AugerModel="Sinton",calclifetimeauger(Auger_Coefficient,I96,P96),calclifetimerichter(SampleType,I96,SampleDoping,P96)))</f>
        <v>2047.7666143974266</v>
      </c>
      <c r="T96" s="278" t="str">
        <f t="shared" si="61"/>
        <v/>
      </c>
      <c r="U96" s="276">
        <f t="shared" si="51"/>
        <v>2014.3615360279423</v>
      </c>
      <c r="V96" s="275" t="str">
        <f>IF(AugerModel="Sinton","",IF(SampleType="n-type",n_intr_boltzmann(SampleDoping,0,K96,298.15),n_intr_boltzmann(0,SampleDoping,K96,298.15)))</f>
        <v/>
      </c>
      <c r="W96" s="275" t="str">
        <f t="shared" si="56"/>
        <v/>
      </c>
      <c r="X96" s="270">
        <f>IF(AND(A96&gt;TimeofMaxCD,I96&gt;Traps),IF(AugerModel="Sinton",CalcImpliedV(SampleDoping,O96),CalcImpliedVRichter(O96,SampleDoping,V96)),"")</f>
        <v>0.56810292013515873</v>
      </c>
      <c r="Y96" s="277">
        <f t="shared" si="52"/>
        <v>0.42530843812818941</v>
      </c>
      <c r="Z96" s="279">
        <f t="shared" si="53"/>
        <v>1.1426938406674381E-2</v>
      </c>
      <c r="AA96" s="279">
        <f t="shared" si="54"/>
        <v>2.0114204665513374E-2</v>
      </c>
      <c r="AB96" s="226" t="str">
        <f t="shared" si="55"/>
        <v/>
      </c>
    </row>
    <row r="97" spans="1:28">
      <c r="A97" s="268">
        <v>8.8499000000000008E-3</v>
      </c>
      <c r="B97" s="268">
        <v>0.34091100000000002</v>
      </c>
      <c r="C97" s="269">
        <v>3.0821400000000001E-3</v>
      </c>
      <c r="D97" s="270">
        <f>IF(CouplingMode="AC",B97-(A$11-A$10)*SUM(B$9:B97)/0.21,B97)</f>
        <v>0.34091100000000002</v>
      </c>
      <c r="E97" s="271">
        <f t="shared" si="41"/>
        <v>0.36645686873370803</v>
      </c>
      <c r="F97" s="271">
        <f t="shared" si="42"/>
        <v>0.36645686873370803</v>
      </c>
      <c r="G97" s="272">
        <f t="shared" si="43"/>
        <v>6.0847395183000208E+16</v>
      </c>
      <c r="H97" s="273">
        <f t="shared" si="44"/>
        <v>9.467230814994898E-3</v>
      </c>
      <c r="I97" s="272">
        <f t="shared" si="45"/>
        <v>475180905095689</v>
      </c>
      <c r="J97" s="272" t="str">
        <f t="shared" si="46"/>
        <v/>
      </c>
      <c r="K97" s="272">
        <f t="shared" si="47"/>
        <v>475180905095689</v>
      </c>
      <c r="L97" s="274">
        <f t="shared" si="57"/>
        <v>-1.6750737015970432E+17</v>
      </c>
      <c r="M97" s="223" t="str">
        <f t="shared" si="48"/>
        <v/>
      </c>
      <c r="N97" s="223" t="str">
        <f t="shared" si="49"/>
        <v/>
      </c>
      <c r="O97" s="274">
        <f t="shared" si="50"/>
        <v>475180905095689</v>
      </c>
      <c r="P97" s="272">
        <f t="shared" si="58"/>
        <v>4.5833442334333973E-4</v>
      </c>
      <c r="Q97" s="274" t="str">
        <f t="shared" si="59"/>
        <v/>
      </c>
      <c r="R97" s="275" t="str">
        <f t="shared" si="62"/>
        <v/>
      </c>
      <c r="S97" s="276">
        <f>IF(AND(E97&gt;0.95*BiasLight,E97&lt;1.05*BiasLight),"",IF(AugerModel="Sinton",calclifetimeauger(Auger_Coefficient,I97,P97),calclifetimerichter(SampleType,I97,SampleDoping,P97)))</f>
        <v>2181.4381701808952</v>
      </c>
      <c r="T97" s="278" t="str">
        <f t="shared" si="61"/>
        <v/>
      </c>
      <c r="U97" s="276">
        <f t="shared" si="51"/>
        <v>1989.2863318905941</v>
      </c>
      <c r="V97" s="275" t="str">
        <f>IF(AugerModel="Sinton","",IF(SampleType="n-type",n_intr_boltzmann(SampleDoping,0,K97,298.15),n_intr_boltzmann(0,SampleDoping,K97,298.15)))</f>
        <v/>
      </c>
      <c r="W97" s="275" t="str">
        <f t="shared" si="56"/>
        <v/>
      </c>
      <c r="X97" s="270">
        <f>IF(AND(A97&gt;TimeofMaxCD,I97&gt;Traps),IF(AugerModel="Sinton",CalcImpliedV(SampleDoping,O97),CalcImpliedVRichter(O97,SampleDoping,V97)),"")</f>
        <v>0.56642942438428812</v>
      </c>
      <c r="Y97" s="277">
        <f t="shared" si="52"/>
        <v>0.43707444952208874</v>
      </c>
      <c r="Z97" s="279">
        <f t="shared" si="53"/>
        <v>1.1160015843494414E-2</v>
      </c>
      <c r="AA97" s="279">
        <f t="shared" si="54"/>
        <v>1.9702394266726896E-2</v>
      </c>
      <c r="AB97" s="226" t="str">
        <f t="shared" si="55"/>
        <v/>
      </c>
    </row>
    <row r="98" spans="1:28">
      <c r="A98" s="268">
        <v>8.9499000000000002E-3</v>
      </c>
      <c r="B98" s="268">
        <v>0.32956299999999999</v>
      </c>
      <c r="C98" s="269">
        <v>3.0552800000000001E-3</v>
      </c>
      <c r="D98" s="270">
        <f>IF(CouplingMode="AC",B98-(A$11-A$10)*SUM(B$9:B98)/0.21,B98)</f>
        <v>0.32956299999999999</v>
      </c>
      <c r="E98" s="271">
        <f t="shared" si="41"/>
        <v>0.3632632981969422</v>
      </c>
      <c r="F98" s="271">
        <f t="shared" si="42"/>
        <v>0.3632632981969422</v>
      </c>
      <c r="G98" s="272">
        <f t="shared" si="43"/>
        <v>6.0317126916595888E+16</v>
      </c>
      <c r="H98" s="273">
        <f t="shared" si="44"/>
        <v>9.1513497683604391E-3</v>
      </c>
      <c r="I98" s="272">
        <f t="shared" si="45"/>
        <v>459202143652602.69</v>
      </c>
      <c r="J98" s="272" t="str">
        <f t="shared" si="46"/>
        <v/>
      </c>
      <c r="K98" s="272">
        <f t="shared" si="47"/>
        <v>459202143652602.69</v>
      </c>
      <c r="L98" s="274">
        <f t="shared" si="57"/>
        <v>-1.6171241806603722E+17</v>
      </c>
      <c r="M98" s="223" t="str">
        <f t="shared" si="48"/>
        <v/>
      </c>
      <c r="N98" s="223" t="str">
        <f t="shared" si="49"/>
        <v/>
      </c>
      <c r="O98" s="274">
        <f t="shared" si="50"/>
        <v>459202143652602.69</v>
      </c>
      <c r="P98" s="272">
        <f t="shared" si="58"/>
        <v>4.4870879251229155E-4</v>
      </c>
      <c r="Q98" s="274" t="str">
        <f t="shared" si="59"/>
        <v/>
      </c>
      <c r="R98" s="275" t="str">
        <f t="shared" si="62"/>
        <v/>
      </c>
      <c r="S98" s="276">
        <f>IF(AND(E98&gt;0.95*BiasLight,E98&lt;1.05*BiasLight),"",IF(AugerModel="Sinton",calclifetimeauger(Auger_Coefficient,I98,P98),calclifetimerichter(SampleType,I98,SampleDoping,P98)))</f>
        <v>2228.2668655045563</v>
      </c>
      <c r="T98" s="278" t="str">
        <f t="shared" si="61"/>
        <v/>
      </c>
      <c r="U98" s="276">
        <f t="shared" si="51"/>
        <v>1966.2317003860421</v>
      </c>
      <c r="V98" s="275" t="str">
        <f>IF(AugerModel="Sinton","",IF(SampleType="n-type",n_intr_boltzmann(SampleDoping,0,K98,298.15),n_intr_boltzmann(0,SampleDoping,K98,298.15)))</f>
        <v/>
      </c>
      <c r="W98" s="275" t="str">
        <f t="shared" si="56"/>
        <v/>
      </c>
      <c r="X98" s="270">
        <f>IF(AND(A98&gt;TimeofMaxCD,I98&gt;Traps),IF(AugerModel="Sinton",CalcImpliedV(SampleDoping,O98),CalcImpliedVRichter(O98,SampleDoping,V98)),"")</f>
        <v>0.56484059119335694</v>
      </c>
      <c r="Y98" s="277">
        <f t="shared" si="52"/>
        <v>0.4314378491816242</v>
      </c>
      <c r="Z98" s="279">
        <f t="shared" si="53"/>
        <v>1.1240144348944629E-2</v>
      </c>
      <c r="AA98" s="279">
        <f t="shared" si="54"/>
        <v>1.9899675278643156E-2</v>
      </c>
      <c r="AB98" s="226" t="str">
        <f t="shared" si="55"/>
        <v/>
      </c>
    </row>
    <row r="99" spans="1:28">
      <c r="A99" s="268">
        <v>9.0498999999999996E-3</v>
      </c>
      <c r="B99" s="268">
        <v>0.31823499999999999</v>
      </c>
      <c r="C99" s="269">
        <v>2.3795000000000001E-3</v>
      </c>
      <c r="D99" s="270">
        <f>IF(CouplingMode="AC",B99-(A$11-A$10)*SUM(B$9:B99)/0.21,B99)</f>
        <v>0.31823499999999999</v>
      </c>
      <c r="E99" s="271">
        <f t="shared" si="41"/>
        <v>0.28291515607722501</v>
      </c>
      <c r="F99" s="271">
        <f t="shared" si="42"/>
        <v>0.28291515607722501</v>
      </c>
      <c r="G99" s="272">
        <f t="shared" si="43"/>
        <v>4.6975924791848848E+16</v>
      </c>
      <c r="H99" s="273">
        <f t="shared" si="44"/>
        <v>8.8360764494718035E-3</v>
      </c>
      <c r="I99" s="272">
        <f t="shared" si="45"/>
        <v>443262186820079</v>
      </c>
      <c r="J99" s="272" t="str">
        <f t="shared" si="46"/>
        <v/>
      </c>
      <c r="K99" s="272">
        <f t="shared" si="47"/>
        <v>443262186820079</v>
      </c>
      <c r="L99" s="274">
        <f t="shared" si="57"/>
        <v>-1.5613605443395414E+17</v>
      </c>
      <c r="M99" s="223" t="str">
        <f t="shared" si="48"/>
        <v/>
      </c>
      <c r="N99" s="223" t="str">
        <f t="shared" si="49"/>
        <v/>
      </c>
      <c r="O99" s="274">
        <f t="shared" si="50"/>
        <v>443262186820079</v>
      </c>
      <c r="P99" s="272">
        <f t="shared" si="58"/>
        <v>5.3584513765796008E-4</v>
      </c>
      <c r="Q99" s="274" t="str">
        <f t="shared" si="59"/>
        <v/>
      </c>
      <c r="R99" s="275" t="str">
        <f t="shared" si="62"/>
        <v/>
      </c>
      <c r="S99" s="276">
        <f>IF(AND(E99&gt;0.95*BiasLight,E99&lt;1.05*BiasLight),"",IF(AugerModel="Sinton",calclifetimeauger(Auger_Coefficient,I99,P99),calclifetimerichter(SampleType,I99,SampleDoping,P99)))</f>
        <v>1865.8846726113557</v>
      </c>
      <c r="T99" s="278" t="str">
        <f t="shared" si="61"/>
        <v/>
      </c>
      <c r="U99" s="276">
        <f t="shared" si="51"/>
        <v>1943.2330573259255</v>
      </c>
      <c r="V99" s="275" t="str">
        <f>IF(AugerModel="Sinton","",IF(SampleType="n-type",n_intr_boltzmann(SampleDoping,0,K99,298.15),n_intr_boltzmann(0,SampleDoping,K99,298.15)))</f>
        <v/>
      </c>
      <c r="W99" s="275" t="str">
        <f t="shared" si="56"/>
        <v/>
      </c>
      <c r="X99" s="270">
        <f>IF(AND(A99&gt;TimeofMaxCD,I99&gt;Traps),IF(AugerModel="Sinton",CalcImpliedV(SampleDoping,O99),CalcImpliedVRichter(O99,SampleDoping,V99)),"")</f>
        <v>0.56320449371506487</v>
      </c>
      <c r="Y99" s="277">
        <f t="shared" si="52"/>
        <v>0.34873882955174995</v>
      </c>
      <c r="Z99" s="279">
        <f t="shared" si="53"/>
        <v>1.2837762622250556E-2</v>
      </c>
      <c r="AA99" s="279">
        <f t="shared" si="54"/>
        <v>2.2794140965688756E-2</v>
      </c>
      <c r="AB99" s="226" t="str">
        <f t="shared" si="55"/>
        <v/>
      </c>
    </row>
    <row r="100" spans="1:28">
      <c r="A100" s="268">
        <v>9.1499000000000007E-3</v>
      </c>
      <c r="B100" s="268">
        <v>0.30714200000000003</v>
      </c>
      <c r="C100" s="269">
        <v>2.9478600000000001E-3</v>
      </c>
      <c r="D100" s="270">
        <f>IF(CouplingMode="AC",B100-(A$11-A$10)*SUM(B$9:B100)/0.21,B100)</f>
        <v>0.30714200000000003</v>
      </c>
      <c r="E100" s="271">
        <f t="shared" si="41"/>
        <v>0.35049139398773205</v>
      </c>
      <c r="F100" s="271">
        <f t="shared" si="42"/>
        <v>0.35049139398773205</v>
      </c>
      <c r="G100" s="272">
        <f t="shared" si="43"/>
        <v>5.8196448689598456E+16</v>
      </c>
      <c r="H100" s="273">
        <f t="shared" si="44"/>
        <v>8.5273928844917211E-3</v>
      </c>
      <c r="I100" s="272">
        <f t="shared" si="45"/>
        <v>427663240158095.31</v>
      </c>
      <c r="J100" s="272" t="str">
        <f t="shared" si="46"/>
        <v/>
      </c>
      <c r="K100" s="272">
        <f t="shared" si="47"/>
        <v>427663240158095.31</v>
      </c>
      <c r="L100" s="274">
        <f t="shared" si="57"/>
        <v>-1.5190293671475904E+17</v>
      </c>
      <c r="M100" s="223" t="str">
        <f t="shared" si="48"/>
        <v/>
      </c>
      <c r="N100" s="223" t="str">
        <f t="shared" si="49"/>
        <v/>
      </c>
      <c r="O100" s="274">
        <f t="shared" si="50"/>
        <v>427663240158095.31</v>
      </c>
      <c r="P100" s="272">
        <f t="shared" si="58"/>
        <v>4.3493501649948446E-4</v>
      </c>
      <c r="Q100" s="274" t="str">
        <f t="shared" si="59"/>
        <v/>
      </c>
      <c r="R100" s="275" t="str">
        <f t="shared" si="62"/>
        <v/>
      </c>
      <c r="S100" s="276">
        <f>IF(AND(E100&gt;0.95*BiasLight,E100&lt;1.05*BiasLight),"",IF(AugerModel="Sinton",calclifetimeauger(Auger_Coefficient,I100,P100),calclifetimerichter(SampleType,I100,SampleDoping,P100)))</f>
        <v>2298.890438129466</v>
      </c>
      <c r="T100" s="278" t="str">
        <f t="shared" si="61"/>
        <v/>
      </c>
      <c r="U100" s="276">
        <f t="shared" si="51"/>
        <v>1920.7264338662708</v>
      </c>
      <c r="V100" s="275" t="str">
        <f>IF(AugerModel="Sinton","",IF(SampleType="n-type",n_intr_boltzmann(SampleDoping,0,K100,298.15),n_intr_boltzmann(0,SampleDoping,K100,298.15)))</f>
        <v/>
      </c>
      <c r="W100" s="275" t="str">
        <f t="shared" si="56"/>
        <v/>
      </c>
      <c r="X100" s="270">
        <f>IF(AND(A100&gt;TimeofMaxCD,I100&gt;Traps),IF(AugerModel="Sinton",CalcImpliedV(SampleDoping,O100),CalcImpliedVRichter(O100,SampleDoping,V100)),"")</f>
        <v>0.5615506549564</v>
      </c>
      <c r="Y100" s="277">
        <f t="shared" si="52"/>
        <v>0.41453047415011202</v>
      </c>
      <c r="Z100" s="279">
        <f t="shared" si="53"/>
        <v>1.1506977849430616E-2</v>
      </c>
      <c r="AA100" s="279">
        <f t="shared" si="54"/>
        <v>2.049143340474608E-2</v>
      </c>
      <c r="AB100" s="226" t="str">
        <f t="shared" si="55"/>
        <v/>
      </c>
    </row>
    <row r="101" spans="1:28">
      <c r="A101" s="268">
        <v>9.2499000000000001E-3</v>
      </c>
      <c r="B101" s="268">
        <v>0.296624</v>
      </c>
      <c r="C101" s="269">
        <v>2.71886E-3</v>
      </c>
      <c r="D101" s="270">
        <f>IF(CouplingMode="AC",B101-(A$11-A$10)*SUM(B$9:B101)/0.21,B101)</f>
        <v>0.296624</v>
      </c>
      <c r="E101" s="271">
        <f t="shared" si="41"/>
        <v>0.3232640055692893</v>
      </c>
      <c r="F101" s="271">
        <f t="shared" si="42"/>
        <v>0.3232640055692893</v>
      </c>
      <c r="G101" s="272">
        <f t="shared" si="43"/>
        <v>5.3675546492778368E+16</v>
      </c>
      <c r="H101" s="273">
        <f t="shared" si="44"/>
        <v>8.2347549138213315E-3</v>
      </c>
      <c r="I101" s="272">
        <f t="shared" si="45"/>
        <v>412882329625965.69</v>
      </c>
      <c r="J101" s="272" t="str">
        <f t="shared" si="46"/>
        <v/>
      </c>
      <c r="K101" s="272">
        <f t="shared" si="47"/>
        <v>412882329625965.69</v>
      </c>
      <c r="L101" s="274">
        <f t="shared" si="57"/>
        <v>-1.4877544235493254E+17</v>
      </c>
      <c r="M101" s="223" t="str">
        <f t="shared" si="48"/>
        <v/>
      </c>
      <c r="N101" s="223" t="str">
        <f t="shared" si="49"/>
        <v/>
      </c>
      <c r="O101" s="274">
        <f t="shared" si="50"/>
        <v>412882329625965.69</v>
      </c>
      <c r="P101" s="272">
        <f t="shared" si="58"/>
        <v>4.5095710536789197E-4</v>
      </c>
      <c r="Q101" s="274" t="str">
        <f t="shared" si="59"/>
        <v/>
      </c>
      <c r="R101" s="275" t="str">
        <f t="shared" si="62"/>
        <v/>
      </c>
      <c r="S101" s="276">
        <f>IF(AND(E101&gt;0.95*BiasLight,E101&lt;1.05*BiasLight),"",IF(AugerModel="Sinton",calclifetimeauger(Auger_Coefficient,I101,P101),calclifetimerichter(SampleType,I101,SampleDoping,P101)))</f>
        <v>2217.2228240896902</v>
      </c>
      <c r="T101" s="278" t="str">
        <f t="shared" si="61"/>
        <v/>
      </c>
      <c r="U101" s="276">
        <f t="shared" si="51"/>
        <v>1899.4000972266158</v>
      </c>
      <c r="V101" s="275" t="str">
        <f>IF(AugerModel="Sinton","",IF(SampleType="n-type",n_intr_boltzmann(SampleDoping,0,K101,298.15),n_intr_boltzmann(0,SampleDoping,K101,298.15)))</f>
        <v/>
      </c>
      <c r="W101" s="275" t="str">
        <f t="shared" si="56"/>
        <v/>
      </c>
      <c r="X101" s="270">
        <f>IF(AND(A101&gt;TimeofMaxCD,I101&gt;Traps),IF(AugerModel="Sinton",CalcImpliedV(SampleDoping,O101),CalcImpliedVRichter(O101,SampleDoping,V101)),"")</f>
        <v>0.55993215772368254</v>
      </c>
      <c r="Y101" s="277">
        <f t="shared" si="52"/>
        <v>0.38598459995155293</v>
      </c>
      <c r="Z101" s="279">
        <f t="shared" si="53"/>
        <v>1.2033243873864398E-2</v>
      </c>
      <c r="AA101" s="279">
        <f t="shared" si="54"/>
        <v>2.1490539001695647E-2</v>
      </c>
      <c r="AB101" s="226" t="str">
        <f t="shared" si="55"/>
        <v/>
      </c>
    </row>
    <row r="102" spans="1:28">
      <c r="A102" s="268">
        <v>9.3498999999999995E-3</v>
      </c>
      <c r="B102" s="268">
        <v>0.28634100000000001</v>
      </c>
      <c r="C102" s="269">
        <v>2.3174900000000002E-3</v>
      </c>
      <c r="D102" s="270">
        <f>IF(CouplingMode="AC",B102-(A$11-A$10)*SUM(B$9:B102)/0.21,B102)</f>
        <v>0.28634100000000001</v>
      </c>
      <c r="E102" s="271">
        <f t="shared" si="41"/>
        <v>0.27554235976356717</v>
      </c>
      <c r="F102" s="271">
        <f t="shared" si="42"/>
        <v>0.27554235976356717</v>
      </c>
      <c r="G102" s="272">
        <f t="shared" si="43"/>
        <v>4.5751727651129128E+16</v>
      </c>
      <c r="H102" s="273">
        <f t="shared" si="44"/>
        <v>7.9486977276093038E-3</v>
      </c>
      <c r="I102" s="272">
        <f t="shared" si="45"/>
        <v>398440603892279.87</v>
      </c>
      <c r="J102" s="272" t="str">
        <f t="shared" si="46"/>
        <v/>
      </c>
      <c r="K102" s="272">
        <f t="shared" si="47"/>
        <v>398440603892279.87</v>
      </c>
      <c r="L102" s="274">
        <f t="shared" si="57"/>
        <v>-1.4476178491971619E+17</v>
      </c>
      <c r="M102" s="223" t="str">
        <f t="shared" si="48"/>
        <v/>
      </c>
      <c r="N102" s="223" t="str">
        <f t="shared" si="49"/>
        <v/>
      </c>
      <c r="O102" s="274">
        <f t="shared" si="50"/>
        <v>398440603892279.87</v>
      </c>
      <c r="P102" s="272">
        <f t="shared" si="58"/>
        <v>4.9907517264644768E-4</v>
      </c>
      <c r="Q102" s="274" t="str">
        <f t="shared" si="59"/>
        <v/>
      </c>
      <c r="R102" s="275" t="str">
        <f t="shared" si="62"/>
        <v/>
      </c>
      <c r="S102" s="276">
        <f>IF(AND(E102&gt;0.95*BiasLight,E102&lt;1.05*BiasLight),"",IF(AugerModel="Sinton",calclifetimeauger(Auger_Coefficient,I102,P102),calclifetimerichter(SampleType,I102,SampleDoping,P102)))</f>
        <v>2003.442631380276</v>
      </c>
      <c r="T102" s="278" t="str">
        <f t="shared" si="61"/>
        <v/>
      </c>
      <c r="U102" s="276">
        <f t="shared" si="51"/>
        <v>1878.5631464863573</v>
      </c>
      <c r="V102" s="275" t="str">
        <f>IF(AugerModel="Sinton","",IF(SampleType="n-type",n_intr_boltzmann(SampleDoping,0,K102,298.15),n_intr_boltzmann(0,SampleDoping,K102,298.15)))</f>
        <v/>
      </c>
      <c r="W102" s="275" t="str">
        <f t="shared" si="56"/>
        <v/>
      </c>
      <c r="X102" s="270">
        <f>IF(AND(A102&gt;TimeofMaxCD,I102&gt;Traps),IF(AugerModel="Sinton",CalcImpliedV(SampleDoping,O102),CalcImpliedVRichter(O102,SampleDoping,V102)),"")</f>
        <v>0.55829924212077353</v>
      </c>
      <c r="Y102" s="277">
        <f t="shared" si="52"/>
        <v>0.33657088066919488</v>
      </c>
      <c r="Z102" s="279">
        <f t="shared" si="53"/>
        <v>1.2963719108313426E-2</v>
      </c>
      <c r="AA102" s="279">
        <f t="shared" si="54"/>
        <v>2.3220019176578181E-2</v>
      </c>
      <c r="AB102" s="226" t="str">
        <f t="shared" si="55"/>
        <v/>
      </c>
    </row>
    <row r="103" spans="1:28">
      <c r="A103" s="268">
        <v>9.4499000000000007E-3</v>
      </c>
      <c r="B103" s="268">
        <v>0.27568599999999999</v>
      </c>
      <c r="C103" s="269">
        <v>2.6656399999999999E-3</v>
      </c>
      <c r="D103" s="270">
        <f>IF(CouplingMode="AC",B103-(A$11-A$10)*SUM(B$9:B103)/0.21,B103)</f>
        <v>0.27568599999999999</v>
      </c>
      <c r="E103" s="271">
        <f t="shared" si="41"/>
        <v>0.31693631294208613</v>
      </c>
      <c r="F103" s="271">
        <f t="shared" si="42"/>
        <v>0.31693631294208613</v>
      </c>
      <c r="G103" s="272">
        <f t="shared" si="43"/>
        <v>5.2624880925464984E+16</v>
      </c>
      <c r="H103" s="273">
        <f t="shared" si="44"/>
        <v>7.6523363786698689E-3</v>
      </c>
      <c r="I103" s="272">
        <f t="shared" si="45"/>
        <v>383485783775520.37</v>
      </c>
      <c r="J103" s="272" t="str">
        <f t="shared" si="46"/>
        <v/>
      </c>
      <c r="K103" s="272">
        <f t="shared" si="47"/>
        <v>383485783775520.37</v>
      </c>
      <c r="L103" s="274">
        <f t="shared" si="57"/>
        <v>-1.3972764907964168E+17</v>
      </c>
      <c r="M103" s="223" t="str">
        <f t="shared" si="48"/>
        <v/>
      </c>
      <c r="N103" s="223" t="str">
        <f t="shared" si="49"/>
        <v/>
      </c>
      <c r="O103" s="274">
        <f t="shared" si="50"/>
        <v>383485783775520.37</v>
      </c>
      <c r="P103" s="272">
        <f t="shared" si="58"/>
        <v>4.3015229075739174E-4</v>
      </c>
      <c r="Q103" s="274" t="str">
        <f t="shared" si="59"/>
        <v/>
      </c>
      <c r="R103" s="275" t="str">
        <f t="shared" si="62"/>
        <v/>
      </c>
      <c r="S103" s="276">
        <f>IF(AND(E103&gt;0.95*BiasLight,E103&lt;1.05*BiasLight),"",IF(AugerModel="Sinton",calclifetimeauger(Auger_Coefficient,I103,P103),calclifetimerichter(SampleType,I103,SampleDoping,P103)))</f>
        <v>2324.5139266209717</v>
      </c>
      <c r="T103" s="278" t="str">
        <f t="shared" si="61"/>
        <v/>
      </c>
      <c r="U103" s="276">
        <f t="shared" si="51"/>
        <v>1856.9858879336971</v>
      </c>
      <c r="V103" s="275" t="str">
        <f>IF(AugerModel="Sinton","",IF(SampleType="n-type",n_intr_boltzmann(SampleDoping,0,K103,298.15),n_intr_boltzmann(0,SampleDoping,K103,298.15)))</f>
        <v/>
      </c>
      <c r="W103" s="275" t="str">
        <f t="shared" si="56"/>
        <v/>
      </c>
      <c r="X103" s="270">
        <f>IF(AND(A103&gt;TimeofMaxCD,I103&gt;Traps),IF(AugerModel="Sinton",CalcImpliedV(SampleDoping,O103),CalcImpliedVRichter(O103,SampleDoping,V103)),"")</f>
        <v>0.55655089768775456</v>
      </c>
      <c r="Y103" s="277">
        <f t="shared" si="52"/>
        <v>0.37584254815934559</v>
      </c>
      <c r="Z103" s="279">
        <f t="shared" si="53"/>
        <v>1.2158138654214619E-2</v>
      </c>
      <c r="AA103" s="279">
        <f t="shared" si="54"/>
        <v>2.1845510814422906E-2</v>
      </c>
      <c r="AB103" s="226" t="str">
        <f t="shared" si="55"/>
        <v/>
      </c>
    </row>
    <row r="104" spans="1:28">
      <c r="A104" s="268">
        <v>9.5499000000000001E-3</v>
      </c>
      <c r="B104" s="268">
        <v>0.26605800000000002</v>
      </c>
      <c r="C104" s="269">
        <v>2.19542E-3</v>
      </c>
      <c r="D104" s="270">
        <f>IF(CouplingMode="AC",B104-(A$11-A$10)*SUM(B$9:B104)/0.21,B104)</f>
        <v>0.26605800000000002</v>
      </c>
      <c r="E104" s="271">
        <f t="shared" si="41"/>
        <v>0.26102861607693267</v>
      </c>
      <c r="F104" s="271">
        <f t="shared" si="42"/>
        <v>0.26102861607693267</v>
      </c>
      <c r="G104" s="272">
        <f t="shared" si="43"/>
        <v>4.3341830135121152E+16</v>
      </c>
      <c r="H104" s="273">
        <f t="shared" si="44"/>
        <v>7.3845790945968569E-3</v>
      </c>
      <c r="I104" s="272">
        <f t="shared" si="45"/>
        <v>369980620623459.94</v>
      </c>
      <c r="J104" s="272" t="str">
        <f t="shared" si="46"/>
        <v/>
      </c>
      <c r="K104" s="272">
        <f t="shared" si="47"/>
        <v>369980620623459.94</v>
      </c>
      <c r="L104" s="274">
        <f t="shared" si="57"/>
        <v>-1.3544170948623638E+17</v>
      </c>
      <c r="M104" s="223" t="str">
        <f t="shared" si="48"/>
        <v/>
      </c>
      <c r="N104" s="223" t="str">
        <f t="shared" si="49"/>
        <v/>
      </c>
      <c r="O104" s="274">
        <f t="shared" si="50"/>
        <v>369980620623459.94</v>
      </c>
      <c r="P104" s="272">
        <f t="shared" si="58"/>
        <v>4.902933592460417E-4</v>
      </c>
      <c r="Q104" s="274" t="str">
        <f t="shared" si="59"/>
        <v/>
      </c>
      <c r="R104" s="275" t="str">
        <f t="shared" si="62"/>
        <v/>
      </c>
      <c r="S104" s="276">
        <f>IF(AND(E104&gt;0.95*BiasLight,E104&lt;1.05*BiasLight),"",IF(AugerModel="Sinton",calclifetimeauger(Auger_Coefficient,I104,P104),calclifetimerichter(SampleType,I104,SampleDoping,P104)))</f>
        <v>2039.368006293153</v>
      </c>
      <c r="T104" s="278" t="str">
        <f t="shared" si="61"/>
        <v/>
      </c>
      <c r="U104" s="276">
        <f t="shared" si="51"/>
        <v>1837.5002374977353</v>
      </c>
      <c r="V104" s="275" t="str">
        <f>IF(AugerModel="Sinton","",IF(SampleType="n-type",n_intr_boltzmann(SampleDoping,0,K104,298.15),n_intr_boltzmann(0,SampleDoping,K104,298.15)))</f>
        <v/>
      </c>
      <c r="W104" s="275" t="str">
        <f t="shared" si="56"/>
        <v/>
      </c>
      <c r="X104" s="270">
        <f>IF(AND(A104&gt;TimeofMaxCD,I104&gt;Traps),IF(AugerModel="Sinton",CalcImpliedV(SampleDoping,O104),CalcImpliedVRichter(O104,SampleDoping,V104)),"")</f>
        <v>0.5549183538317547</v>
      </c>
      <c r="Y104" s="277">
        <f t="shared" si="52"/>
        <v>0.31812798939191966</v>
      </c>
      <c r="Z104" s="279">
        <f t="shared" si="53"/>
        <v>1.3243415277770466E-2</v>
      </c>
      <c r="AA104" s="279">
        <f t="shared" si="54"/>
        <v>2.3865520371282815E-2</v>
      </c>
      <c r="AB104" s="226" t="str">
        <f t="shared" si="55"/>
        <v/>
      </c>
    </row>
    <row r="105" spans="1:28">
      <c r="A105" s="268">
        <v>9.6498999999999995E-3</v>
      </c>
      <c r="B105" s="268">
        <v>0.25697599999999998</v>
      </c>
      <c r="C105" s="269">
        <v>2.43517E-3</v>
      </c>
      <c r="D105" s="270">
        <f>IF(CouplingMode="AC",B105-(A$11-A$10)*SUM(B$9:B105)/0.21,B105)</f>
        <v>0.25697599999999998</v>
      </c>
      <c r="E105" s="271">
        <f t="shared" ref="E105:E133" si="63">IF(C105&gt;0,C105/RefCellCal,0.00001)</f>
        <v>0.28953414609143768</v>
      </c>
      <c r="F105" s="271">
        <f t="shared" ref="F105:F133" si="64">E105-BiasLight</f>
        <v>0.28953414609143768</v>
      </c>
      <c r="G105" s="272">
        <f t="shared" ref="G105:G133" si="65">F105*0.038*OptConst/1.602E-19</f>
        <v>4.8074958090088896E+16</v>
      </c>
      <c r="H105" s="273">
        <f t="shared" ref="H105:H133" si="66">CalcConductance(B105,Dark_Voltage,A_cal,B_cal,C_cal)</f>
        <v>7.1320399624636155E-3</v>
      </c>
      <c r="I105" s="272">
        <f t="shared" ref="I105:I133" si="67">CalcDeltaN(H105,SampleDoping,Thickness,AreaFrac)</f>
        <v>357248496720554.87</v>
      </c>
      <c r="J105" s="272" t="str">
        <f t="shared" ref="J105:J133" si="68">IF(AND(AND(I105&gt;=FitRangeMin,I105&lt;=FitRangeMax),A105&gt;TimeofMaxCD),I105,"")</f>
        <v/>
      </c>
      <c r="K105" s="272">
        <f t="shared" ref="K105:K133" si="69">IF(I105-BiasPtCD&lt;0,0.00001,I105-BiasPtCD)</f>
        <v>357248496720554.87</v>
      </c>
      <c r="L105" s="274">
        <f t="shared" si="57"/>
        <v>-1.2882018796927954E+17</v>
      </c>
      <c r="M105" s="223" t="str">
        <f t="shared" ref="M105:M133" si="70">IF(E105&gt;0.85*BiasLight,IF( E105&lt;1.15*BiasLight,E105,""),"")</f>
        <v/>
      </c>
      <c r="N105" s="223" t="str">
        <f t="shared" ref="N105:N133" si="71">IF(E105&gt;0.85*BiasLight,IF(E105&lt;1.15*BiasLight,I105,""),"")</f>
        <v/>
      </c>
      <c r="O105" s="274">
        <f t="shared" ref="O105:O133" si="72">I105-Traps</f>
        <v>357248496720554.87</v>
      </c>
      <c r="P105" s="272">
        <f t="shared" si="58"/>
        <v>4.3801639735434583E-4</v>
      </c>
      <c r="Q105" s="274" t="str">
        <f t="shared" si="59"/>
        <v/>
      </c>
      <c r="R105" s="275" t="str">
        <f t="shared" si="62"/>
        <v/>
      </c>
      <c r="S105" s="276">
        <f>IF(AND(E105&gt;0.95*BiasLight,E105&lt;1.05*BiasLight),"",IF(AugerModel="Sinton",calclifetimeauger(Auger_Coefficient,I105,P105),calclifetimerichter(SampleType,I105,SampleDoping,P105)))</f>
        <v>2282.8076937265</v>
      </c>
      <c r="T105" s="278" t="str">
        <f t="shared" si="61"/>
        <v/>
      </c>
      <c r="U105" s="276">
        <f t="shared" ref="U105:U133" si="73">FitInterceptAuger+FitSlopeAuger*(I105+Traps)</f>
        <v>1819.129951046104</v>
      </c>
      <c r="V105" s="275" t="str">
        <f>IF(AugerModel="Sinton","",IF(SampleType="n-type",n_intr_boltzmann(SampleDoping,0,K105,298.15),n_intr_boltzmann(0,SampleDoping,K105,298.15)))</f>
        <v/>
      </c>
      <c r="W105" s="275" t="str">
        <f t="shared" si="56"/>
        <v/>
      </c>
      <c r="X105" s="270">
        <f>IF(AND(A105&gt;TimeofMaxCD,I105&gt;Traps),IF(AugerModel="Sinton",CalcImpliedV(SampleDoping,O105),CalcImpliedVRichter(O105,SampleDoping,V105)),"")</f>
        <v>0.55332939300344897</v>
      </c>
      <c r="Y105" s="277">
        <f t="shared" ref="Y105:Y133" si="74">IF(OR(P105="",P105&lt;0,A105&lt;=TimeofMaxCD),"",(O105*Thickness*1.602E-19/(0.038*OptConst*P105)))</f>
        <v>0.34384202533532865</v>
      </c>
      <c r="Z105" s="279">
        <f t="shared" ref="Z105:Z134" si="75">IF(Y105="","",($AC$6*X105*(1-Y105)))</f>
        <v>1.2707502284245128E-2</v>
      </c>
      <c r="AA105" s="279">
        <f t="shared" ref="AA105:AA134" si="76">IF(Y105="","",$AC$6*(1-Y105))</f>
        <v>2.2965529113263498E-2</v>
      </c>
      <c r="AB105" s="226" t="str">
        <f t="shared" ref="AB105:AB133" si="77">IF(C105&gt;0.6,O105,"")</f>
        <v/>
      </c>
    </row>
    <row r="106" spans="1:28">
      <c r="A106" s="268">
        <v>9.7499000000000006E-3</v>
      </c>
      <c r="B106" s="268">
        <v>0.24740500000000001</v>
      </c>
      <c r="C106" s="269">
        <v>2.2862400000000001E-3</v>
      </c>
      <c r="D106" s="270">
        <f>IF(CouplingMode="AC",B106-(A$11-A$10)*SUM(B$9:B106)/0.21,B106)</f>
        <v>0.24740500000000001</v>
      </c>
      <c r="E106" s="271">
        <f t="shared" si="63"/>
        <v>0.27182683186803736</v>
      </c>
      <c r="F106" s="271">
        <f t="shared" si="64"/>
        <v>0.27182683186803736</v>
      </c>
      <c r="G106" s="272">
        <f t="shared" si="65"/>
        <v>4.5134792307676616E+16</v>
      </c>
      <c r="H106" s="273">
        <f t="shared" si="66"/>
        <v>6.865938877766993E-3</v>
      </c>
      <c r="I106" s="272">
        <f t="shared" si="67"/>
        <v>343838392676644.37</v>
      </c>
      <c r="J106" s="272" t="str">
        <f t="shared" si="68"/>
        <v/>
      </c>
      <c r="K106" s="272">
        <f t="shared" si="69"/>
        <v>343838392676644.37</v>
      </c>
      <c r="L106" s="274">
        <f t="shared" si="57"/>
        <v>-1.2537199725924867E+17</v>
      </c>
      <c r="M106" s="223" t="str">
        <f t="shared" si="70"/>
        <v/>
      </c>
      <c r="N106" s="223" t="str">
        <f t="shared" si="71"/>
        <v/>
      </c>
      <c r="O106" s="274">
        <f t="shared" si="72"/>
        <v>343838392676644.37</v>
      </c>
      <c r="P106" s="272">
        <f t="shared" si="58"/>
        <v>4.4645364470826662E-4</v>
      </c>
      <c r="Q106" s="274" t="str">
        <f t="shared" si="59"/>
        <v/>
      </c>
      <c r="R106" s="275" t="str">
        <f t="shared" si="62"/>
        <v/>
      </c>
      <c r="S106" s="276">
        <f>IF(AND(E106&gt;0.95*BiasLight,E106&lt;1.05*BiasLight),"",IF(AugerModel="Sinton",calclifetimeauger(Auger_Coefficient,I106,P106),calclifetimerichter(SampleType,I106,SampleDoping,P106)))</f>
        <v>2239.6779461424239</v>
      </c>
      <c r="T106" s="278" t="str">
        <f t="shared" si="61"/>
        <v/>
      </c>
      <c r="U106" s="276">
        <f t="shared" si="73"/>
        <v>1799.7814547141918</v>
      </c>
      <c r="V106" s="275" t="str">
        <f>IF(AugerModel="Sinton","",IF(SampleType="n-type",n_intr_boltzmann(SampleDoping,0,K106,298.15),n_intr_boltzmann(0,SampleDoping,K106,298.15)))</f>
        <v/>
      </c>
      <c r="W106" s="275" t="str">
        <f t="shared" si="56"/>
        <v/>
      </c>
      <c r="X106" s="270">
        <f>IF(AND(A106&gt;TimeofMaxCD,I106&gt;Traps),IF(AugerModel="Sinton",CalcImpliedV(SampleDoping,O106),CalcImpliedVRichter(O106,SampleDoping,V106)),"")</f>
        <v>0.55159989637130236</v>
      </c>
      <c r="Y106" s="277">
        <f t="shared" si="74"/>
        <v>0.32468102650206804</v>
      </c>
      <c r="Z106" s="279">
        <f t="shared" si="75"/>
        <v>1.3037705652966174E-2</v>
      </c>
      <c r="AA106" s="279">
        <f t="shared" si="76"/>
        <v>2.3636164072427621E-2</v>
      </c>
      <c r="AB106" s="226" t="str">
        <f t="shared" si="77"/>
        <v/>
      </c>
    </row>
    <row r="107" spans="1:28">
      <c r="A107" s="268">
        <v>9.8499E-3</v>
      </c>
      <c r="B107" s="268">
        <v>0.23905599999999999</v>
      </c>
      <c r="C107" s="269">
        <v>1.81212E-3</v>
      </c>
      <c r="D107" s="270">
        <f>IF(CouplingMode="AC",B107-(A$11-A$10)*SUM(B$9:B107)/0.21,B107)</f>
        <v>0.23905599999999999</v>
      </c>
      <c r="E107" s="271">
        <f t="shared" si="63"/>
        <v>0.21545543712152171</v>
      </c>
      <c r="F107" s="271">
        <f t="shared" si="64"/>
        <v>0.21545543712152171</v>
      </c>
      <c r="G107" s="272">
        <f t="shared" si="65"/>
        <v>3.5774747986469896E+16</v>
      </c>
      <c r="H107" s="273">
        <f t="shared" si="66"/>
        <v>6.6338425876994785E-3</v>
      </c>
      <c r="I107" s="272">
        <f t="shared" si="67"/>
        <v>332146803764288.44</v>
      </c>
      <c r="J107" s="272" t="str">
        <f t="shared" si="68"/>
        <v/>
      </c>
      <c r="K107" s="272">
        <f t="shared" si="69"/>
        <v>332146803764288.44</v>
      </c>
      <c r="L107" s="274">
        <f t="shared" ref="L107:L131" si="78">IF(ABS(SLOPE(K105:K109,A105:A109))&lt;1000000000000,-1000000000000,(SLOPE(K105:K109,A105:A109)))</f>
        <v>-1.2183329819309091E+17</v>
      </c>
      <c r="M107" s="223" t="str">
        <f t="shared" si="70"/>
        <v/>
      </c>
      <c r="N107" s="223" t="str">
        <f t="shared" si="71"/>
        <v/>
      </c>
      <c r="O107" s="274">
        <f t="shared" si="72"/>
        <v>332146803764288.44</v>
      </c>
      <c r="P107" s="272">
        <f t="shared" ref="P107:P131" si="79">calclifetime(AnalysisMode,K107,Thickness,G107,L107)</f>
        <v>5.2480046222023221E-4</v>
      </c>
      <c r="Q107" s="274" t="str">
        <f t="shared" si="59"/>
        <v/>
      </c>
      <c r="R107" s="275" t="str">
        <f t="shared" si="62"/>
        <v/>
      </c>
      <c r="S107" s="276">
        <f>IF(AND(E107&gt;0.95*BiasLight,E107&lt;1.05*BiasLight),"",IF(AugerModel="Sinton",calclifetimeauger(Auger_Coefficient,I107,P107),calclifetimerichter(SampleType,I107,SampleDoping,P107)))</f>
        <v>1905.3029929228289</v>
      </c>
      <c r="T107" s="278" t="str">
        <f t="shared" si="61"/>
        <v/>
      </c>
      <c r="U107" s="276">
        <f t="shared" si="73"/>
        <v>1782.9124830459466</v>
      </c>
      <c r="V107" s="275" t="str">
        <f>IF(AugerModel="Sinton","",IF(SampleType="n-type",n_intr_boltzmann(SampleDoping,0,K107,298.15),n_intr_boltzmann(0,SampleDoping,K107,298.15)))</f>
        <v/>
      </c>
      <c r="W107" s="275" t="str">
        <f t="shared" si="56"/>
        <v/>
      </c>
      <c r="X107" s="270">
        <f>IF(AND(A107&gt;TimeofMaxCD,I107&gt;Traps),IF(AugerModel="Sinton",CalcImpliedV(SampleDoping,O107),CalcImpliedVRichter(O107,SampleDoping,V107)),"")</f>
        <v>0.55004204534844203</v>
      </c>
      <c r="Y107" s="277">
        <f t="shared" si="74"/>
        <v>0.26681779072818795</v>
      </c>
      <c r="Z107" s="279">
        <f t="shared" si="75"/>
        <v>1.4114836470033495E-2</v>
      </c>
      <c r="AA107" s="279">
        <f t="shared" si="76"/>
        <v>2.5661377324513426E-2</v>
      </c>
      <c r="AB107" s="226" t="str">
        <f t="shared" si="77"/>
        <v/>
      </c>
    </row>
    <row r="108" spans="1:28">
      <c r="A108" s="268">
        <v>9.9498999999999994E-3</v>
      </c>
      <c r="B108" s="268">
        <v>0.230267</v>
      </c>
      <c r="C108" s="269">
        <v>2.2022600000000002E-3</v>
      </c>
      <c r="D108" s="270">
        <f>IF(CouplingMode="AC",B108-(A$11-A$10)*SUM(B$9:B108)/0.21,B108)</f>
        <v>0.230267</v>
      </c>
      <c r="E108" s="271">
        <f t="shared" si="63"/>
        <v>0.26184187082270627</v>
      </c>
      <c r="F108" s="271">
        <f t="shared" si="64"/>
        <v>0.26184187082270627</v>
      </c>
      <c r="G108" s="272">
        <f t="shared" si="65"/>
        <v>4.347686494309604E+16</v>
      </c>
      <c r="H108" s="273">
        <f t="shared" si="66"/>
        <v>6.3895445210098469E-3</v>
      </c>
      <c r="I108" s="272">
        <f t="shared" si="67"/>
        <v>319845468471968.87</v>
      </c>
      <c r="J108" s="272" t="str">
        <f t="shared" si="68"/>
        <v/>
      </c>
      <c r="K108" s="272">
        <f t="shared" si="69"/>
        <v>319845468471968.87</v>
      </c>
      <c r="L108" s="274">
        <f t="shared" si="78"/>
        <v>-1.1652221215468466E+17</v>
      </c>
      <c r="M108" s="223" t="str">
        <f t="shared" si="70"/>
        <v/>
      </c>
      <c r="N108" s="223" t="str">
        <f t="shared" si="71"/>
        <v/>
      </c>
      <c r="O108" s="274">
        <f t="shared" si="72"/>
        <v>319845468471968.87</v>
      </c>
      <c r="P108" s="272">
        <f t="shared" si="79"/>
        <v>4.3361804975142285E-4</v>
      </c>
      <c r="Q108" s="274" t="str">
        <f t="shared" ref="Q108:Q133" si="80">IF($J108="","",P108)</f>
        <v/>
      </c>
      <c r="R108" s="275" t="str">
        <f t="shared" si="62"/>
        <v/>
      </c>
      <c r="S108" s="276">
        <f>IF(AND(E108&gt;0.95*BiasLight,E108&lt;1.05*BiasLight),"",IF(AugerModel="Sinton",calclifetimeauger(Auger_Coefficient,I108,P108),calclifetimerichter(SampleType,I108,SampleDoping,P108)))</f>
        <v>2306.0072421210339</v>
      </c>
      <c r="T108" s="278" t="str">
        <f t="shared" ref="T108:T133" si="81">IF($J108="","",S108)</f>
        <v/>
      </c>
      <c r="U108" s="276">
        <f t="shared" si="73"/>
        <v>1765.1637511940748</v>
      </c>
      <c r="V108" s="275" t="str">
        <f>IF(AugerModel="Sinton","",IF(SampleType="n-type",n_intr_boltzmann(SampleDoping,0,K108,298.15),n_intr_boltzmann(0,SampleDoping,K108,298.15)))</f>
        <v/>
      </c>
      <c r="W108" s="275" t="str">
        <f t="shared" si="56"/>
        <v/>
      </c>
      <c r="X108" s="270">
        <f>IF(AND(A108&gt;TimeofMaxCD,I108&gt;Traps),IF(AugerModel="Sinton",CalcImpliedV(SampleDoping,O108),CalcImpliedVRichter(O108,SampleDoping,V108)),"")</f>
        <v>0.54834918242719177</v>
      </c>
      <c r="Y108" s="277">
        <f t="shared" si="74"/>
        <v>0.31096518236791804</v>
      </c>
      <c r="Z108" s="279">
        <f t="shared" si="75"/>
        <v>1.3224108761934748E-2</v>
      </c>
      <c r="AA108" s="279">
        <f t="shared" si="76"/>
        <v>2.4116218617122872E-2</v>
      </c>
      <c r="AB108" s="226" t="str">
        <f t="shared" si="77"/>
        <v/>
      </c>
    </row>
    <row r="109" spans="1:28">
      <c r="A109" s="268">
        <v>1.00499E-2</v>
      </c>
      <c r="B109" s="268">
        <v>0.22203400000000001</v>
      </c>
      <c r="C109" s="269">
        <v>1.9464E-3</v>
      </c>
      <c r="D109" s="270">
        <f>IF(CouplingMode="AC",B109-(A$11-A$10)*SUM(B$9:B109)/0.21,B109)</f>
        <v>0.22203400000000001</v>
      </c>
      <c r="E109" s="271">
        <f t="shared" si="63"/>
        <v>0.23142091186749766</v>
      </c>
      <c r="F109" s="271">
        <f t="shared" si="64"/>
        <v>0.23142091186749766</v>
      </c>
      <c r="G109" s="272">
        <f t="shared" si="65"/>
        <v>3.8425694479871648E+16</v>
      </c>
      <c r="H109" s="273">
        <f t="shared" si="66"/>
        <v>6.1607287985054699E-3</v>
      </c>
      <c r="I109" s="272">
        <f t="shared" si="67"/>
        <v>308328309726347.12</v>
      </c>
      <c r="J109" s="272" t="str">
        <f t="shared" si="68"/>
        <v/>
      </c>
      <c r="K109" s="272">
        <f t="shared" si="69"/>
        <v>308328309726347.12</v>
      </c>
      <c r="L109" s="274">
        <f t="shared" si="78"/>
        <v>-1.1433353251613822E+17</v>
      </c>
      <c r="M109" s="223" t="str">
        <f t="shared" si="70"/>
        <v/>
      </c>
      <c r="N109" s="223" t="str">
        <f t="shared" si="71"/>
        <v/>
      </c>
      <c r="O109" s="274">
        <f t="shared" si="72"/>
        <v>308328309726347.12</v>
      </c>
      <c r="P109" s="272">
        <f t="shared" si="79"/>
        <v>4.6485951173124367E-4</v>
      </c>
      <c r="Q109" s="274" t="str">
        <f t="shared" si="80"/>
        <v/>
      </c>
      <c r="R109" s="275" t="str">
        <f t="shared" ref="R109:R133" si="82">IF(Q109="","",1/Q109)</f>
        <v/>
      </c>
      <c r="S109" s="276">
        <f>IF(AND(E109&gt;0.95*BiasLight,E109&lt;1.05*BiasLight),"",IF(AugerModel="Sinton",calclifetimeauger(Auger_Coefficient,I109,P109),calclifetimerichter(SampleType,I109,SampleDoping,P109)))</f>
        <v>2151.0297524806838</v>
      </c>
      <c r="T109" s="278" t="str">
        <f t="shared" si="81"/>
        <v/>
      </c>
      <c r="U109" s="276">
        <f t="shared" si="73"/>
        <v>1748.5464525501538</v>
      </c>
      <c r="V109" s="275" t="str">
        <f>IF(AugerModel="Sinton","",IF(SampleType="n-type",n_intr_boltzmann(SampleDoping,0,K109,298.15),n_intr_boltzmann(0,SampleDoping,K109,298.15)))</f>
        <v/>
      </c>
      <c r="W109" s="275" t="str">
        <f t="shared" si="56"/>
        <v/>
      </c>
      <c r="X109" s="270">
        <f>IF(AND(A109&gt;TimeofMaxCD,I109&gt;Traps),IF(AugerModel="Sinton",CalcImpliedV(SampleDoping,O109),CalcImpliedVRichter(O109,SampleDoping,V109)),"")</f>
        <v>0.54671084976408735</v>
      </c>
      <c r="Y109" s="277">
        <f t="shared" si="74"/>
        <v>0.27962152215456437</v>
      </c>
      <c r="Z109" s="279">
        <f t="shared" si="75"/>
        <v>1.3784355542112327E-2</v>
      </c>
      <c r="AA109" s="279">
        <f t="shared" si="76"/>
        <v>2.5213246724590251E-2</v>
      </c>
      <c r="AB109" s="226" t="str">
        <f t="shared" si="77"/>
        <v/>
      </c>
    </row>
    <row r="110" spans="1:28">
      <c r="A110" s="268">
        <v>1.01499E-2</v>
      </c>
      <c r="B110" s="268">
        <v>0.21428</v>
      </c>
      <c r="C110" s="269">
        <v>1.7457099999999999E-3</v>
      </c>
      <c r="D110" s="270">
        <f>IF(CouplingMode="AC",B110-(A$11-A$10)*SUM(B$9:B110)/0.21,B110)</f>
        <v>0.21428</v>
      </c>
      <c r="E110" s="271">
        <f t="shared" si="63"/>
        <v>0.2075594944801733</v>
      </c>
      <c r="F110" s="271">
        <f t="shared" si="64"/>
        <v>0.2075594944801733</v>
      </c>
      <c r="G110" s="272">
        <f t="shared" si="65"/>
        <v>3.4463686349392068E+16</v>
      </c>
      <c r="H110" s="273">
        <f t="shared" si="66"/>
        <v>5.9452503047054354E-3</v>
      </c>
      <c r="I110" s="272">
        <f t="shared" si="67"/>
        <v>297486533618272.75</v>
      </c>
      <c r="J110" s="272" t="str">
        <f t="shared" si="68"/>
        <v/>
      </c>
      <c r="K110" s="272">
        <f t="shared" si="69"/>
        <v>297486533618272.75</v>
      </c>
      <c r="L110" s="274">
        <f t="shared" si="78"/>
        <v>-1.0986802994772109E+17</v>
      </c>
      <c r="M110" s="223" t="str">
        <f t="shared" si="70"/>
        <v/>
      </c>
      <c r="N110" s="223" t="str">
        <f t="shared" si="71"/>
        <v/>
      </c>
      <c r="O110" s="274">
        <f t="shared" si="72"/>
        <v>297486533618272.75</v>
      </c>
      <c r="P110" s="272">
        <f t="shared" si="79"/>
        <v>4.9399430240646867E-4</v>
      </c>
      <c r="Q110" s="274" t="str">
        <f t="shared" si="80"/>
        <v/>
      </c>
      <c r="R110" s="275" t="str">
        <f t="shared" si="82"/>
        <v/>
      </c>
      <c r="S110" s="276">
        <f>IF(AND(E110&gt;0.95*BiasLight,E110&lt;1.05*BiasLight),"",IF(AugerModel="Sinton",calclifetimeauger(Auger_Coefficient,I110,P110),calclifetimerichter(SampleType,I110,SampleDoping,P110)))</f>
        <v>2024.167938518905</v>
      </c>
      <c r="T110" s="278" t="str">
        <f t="shared" si="81"/>
        <v/>
      </c>
      <c r="U110" s="276">
        <f t="shared" si="73"/>
        <v>1732.903616031391</v>
      </c>
      <c r="V110" s="275" t="str">
        <f>IF(AugerModel="Sinton","",IF(SampleType="n-type",n_intr_boltzmann(SampleDoping,0,K110,298.15),n_intr_boltzmann(0,SampleDoping,K110,298.15)))</f>
        <v/>
      </c>
      <c r="W110" s="275" t="str">
        <f t="shared" si="56"/>
        <v/>
      </c>
      <c r="X110" s="270">
        <f>IF(AND(A110&gt;TimeofMaxCD,I110&gt;Traps),IF(AugerModel="Sinton",CalcImpliedV(SampleDoping,O110),CalcImpliedVRichter(O110,SampleDoping,V110)),"")</f>
        <v>0.54511816170931759</v>
      </c>
      <c r="Y110" s="277">
        <f t="shared" si="74"/>
        <v>0.25387754289497572</v>
      </c>
      <c r="Z110" s="279">
        <f t="shared" si="75"/>
        <v>1.4235371577949551E-2</v>
      </c>
      <c r="AA110" s="279">
        <f t="shared" si="76"/>
        <v>2.6114285998675851E-2</v>
      </c>
      <c r="AB110" s="226" t="str">
        <f t="shared" si="77"/>
        <v/>
      </c>
    </row>
    <row r="111" spans="1:28">
      <c r="A111" s="268">
        <v>1.0249899999999999E-2</v>
      </c>
      <c r="B111" s="268">
        <v>0.206175</v>
      </c>
      <c r="C111" s="269">
        <v>1.98839E-3</v>
      </c>
      <c r="D111" s="270">
        <f>IF(CouplingMode="AC",B111-(A$11-A$10)*SUM(B$9:B111)/0.21,B111)</f>
        <v>0.206175</v>
      </c>
      <c r="E111" s="271">
        <f t="shared" si="63"/>
        <v>0.23641339239016321</v>
      </c>
      <c r="F111" s="271">
        <f t="shared" si="64"/>
        <v>0.23641339239016321</v>
      </c>
      <c r="G111" s="272">
        <f t="shared" si="65"/>
        <v>3.9254658162161928E+16</v>
      </c>
      <c r="H111" s="273">
        <f t="shared" si="66"/>
        <v>5.7200432802185022E-3</v>
      </c>
      <c r="I111" s="272">
        <f t="shared" si="67"/>
        <v>286159504933067.44</v>
      </c>
      <c r="J111" s="272" t="str">
        <f t="shared" si="68"/>
        <v/>
      </c>
      <c r="K111" s="272">
        <f t="shared" si="69"/>
        <v>286159504933067.44</v>
      </c>
      <c r="L111" s="274">
        <f t="shared" si="78"/>
        <v>-1.0502473228092309E+17</v>
      </c>
      <c r="M111" s="223" t="str">
        <f t="shared" si="70"/>
        <v/>
      </c>
      <c r="N111" s="223" t="str">
        <f t="shared" si="71"/>
        <v/>
      </c>
      <c r="O111" s="274">
        <f t="shared" si="72"/>
        <v>286159504933067.44</v>
      </c>
      <c r="P111" s="272">
        <f t="shared" si="79"/>
        <v>4.2979440359595407E-4</v>
      </c>
      <c r="Q111" s="274" t="str">
        <f t="shared" si="80"/>
        <v/>
      </c>
      <c r="R111" s="275" t="str">
        <f t="shared" si="82"/>
        <v/>
      </c>
      <c r="S111" s="276">
        <f>IF(AND(E111&gt;0.95*BiasLight,E111&lt;1.05*BiasLight),"",IF(AugerModel="Sinton",calclifetimeauger(Auger_Coefficient,I111,P111),calclifetimerichter(SampleType,I111,SampleDoping,P111)))</f>
        <v>2326.5579273562125</v>
      </c>
      <c r="T111" s="278" t="str">
        <f t="shared" si="81"/>
        <v/>
      </c>
      <c r="U111" s="276">
        <f t="shared" si="73"/>
        <v>1716.560642684612</v>
      </c>
      <c r="V111" s="275" t="str">
        <f>IF(AugerModel="Sinton","",IF(SampleType="n-type",n_intr_boltzmann(SampleDoping,0,K111,298.15),n_intr_boltzmann(0,SampleDoping,K111,298.15)))</f>
        <v/>
      </c>
      <c r="W111" s="275" t="str">
        <f t="shared" si="56"/>
        <v/>
      </c>
      <c r="X111" s="270">
        <f>IF(AND(A111&gt;TimeofMaxCD,I111&gt;Traps),IF(AugerModel="Sinton",CalcImpliedV(SampleDoping,O111),CalcImpliedVRichter(O111,SampleDoping,V111)),"")</f>
        <v>0.54339831676049999</v>
      </c>
      <c r="Y111" s="277">
        <f t="shared" si="74"/>
        <v>0.280689608472805</v>
      </c>
      <c r="Z111" s="279">
        <f t="shared" si="75"/>
        <v>1.3680521959447491E-2</v>
      </c>
      <c r="AA111" s="279">
        <f t="shared" si="76"/>
        <v>2.5175863703451828E-2</v>
      </c>
      <c r="AB111" s="226" t="str">
        <f t="shared" si="77"/>
        <v/>
      </c>
    </row>
    <row r="112" spans="1:28">
      <c r="A112" s="268">
        <v>1.03499E-2</v>
      </c>
      <c r="B112" s="268">
        <v>0.19889899999999999</v>
      </c>
      <c r="C112" s="269">
        <v>1.5455200000000001E-3</v>
      </c>
      <c r="D112" s="270">
        <f>IF(CouplingMode="AC",B112-(A$11-A$10)*SUM(B$9:B112)/0.21,B112)</f>
        <v>0.19889899999999999</v>
      </c>
      <c r="E112" s="271">
        <f t="shared" si="63"/>
        <v>0.18375752553917746</v>
      </c>
      <c r="F112" s="271">
        <f t="shared" si="64"/>
        <v>0.18375752553917746</v>
      </c>
      <c r="G112" s="272">
        <f t="shared" si="65"/>
        <v>3.0511549184407736E+16</v>
      </c>
      <c r="H112" s="273">
        <f t="shared" si="66"/>
        <v>5.5178932265765087E-3</v>
      </c>
      <c r="I112" s="272">
        <f t="shared" si="67"/>
        <v>275995855894748.12</v>
      </c>
      <c r="J112" s="272" t="str">
        <f t="shared" si="68"/>
        <v/>
      </c>
      <c r="K112" s="272">
        <f t="shared" si="69"/>
        <v>275995855894748.12</v>
      </c>
      <c r="L112" s="274">
        <f t="shared" si="78"/>
        <v>-1.0001413141096427E+17</v>
      </c>
      <c r="M112" s="223" t="str">
        <f t="shared" si="70"/>
        <v/>
      </c>
      <c r="N112" s="223" t="str">
        <f t="shared" si="71"/>
        <v/>
      </c>
      <c r="O112" s="274">
        <f t="shared" si="72"/>
        <v>275995855894748.12</v>
      </c>
      <c r="P112" s="272">
        <f t="shared" si="79"/>
        <v>5.1502006383277613E-4</v>
      </c>
      <c r="Q112" s="274" t="str">
        <f t="shared" si="80"/>
        <v/>
      </c>
      <c r="R112" s="275" t="str">
        <f t="shared" si="82"/>
        <v/>
      </c>
      <c r="S112" s="276">
        <f>IF(AND(E112&gt;0.95*BiasLight,E112&lt;1.05*BiasLight),"",IF(AugerModel="Sinton",calclifetimeauger(Auger_Coefficient,I112,P112),calclifetimerichter(SampleType,I112,SampleDoping,P112)))</f>
        <v>1941.5454790531082</v>
      </c>
      <c r="T112" s="278" t="str">
        <f t="shared" si="81"/>
        <v/>
      </c>
      <c r="U112" s="276">
        <f t="shared" si="73"/>
        <v>1701.8962280392936</v>
      </c>
      <c r="V112" s="275" t="str">
        <f>IF(AugerModel="Sinton","",IF(SampleType="n-type",n_intr_boltzmann(SampleDoping,0,K112,298.15),n_intr_boltzmann(0,SampleDoping,K112,298.15)))</f>
        <v/>
      </c>
      <c r="W112" s="275" t="str">
        <f t="shared" si="56"/>
        <v/>
      </c>
      <c r="X112" s="270">
        <f>IF(AND(A112&gt;TimeofMaxCD,I112&gt;Traps),IF(AugerModel="Sinton",CalcImpliedV(SampleDoping,O112),CalcImpliedVRichter(O112,SampleDoping,V112)),"")</f>
        <v>0.54180315445709948</v>
      </c>
      <c r="Y112" s="277">
        <f t="shared" si="74"/>
        <v>0.22592137778137866</v>
      </c>
      <c r="Z112" s="279">
        <f t="shared" si="75"/>
        <v>1.4678938376054907E-2</v>
      </c>
      <c r="AA112" s="279">
        <f t="shared" si="76"/>
        <v>2.709275177765175E-2</v>
      </c>
      <c r="AB112" s="226" t="str">
        <f t="shared" si="77"/>
        <v/>
      </c>
    </row>
    <row r="113" spans="1:28">
      <c r="A113" s="268">
        <v>1.04499E-2</v>
      </c>
      <c r="B113" s="268">
        <v>0.19214200000000001</v>
      </c>
      <c r="C113" s="269">
        <v>1.79356E-3</v>
      </c>
      <c r="D113" s="270">
        <f>IF(CouplingMode="AC",B113-(A$11-A$10)*SUM(B$9:B113)/0.21,B113)</f>
        <v>0.19214200000000001</v>
      </c>
      <c r="E113" s="271">
        <f t="shared" si="63"/>
        <v>0.21324871079380864</v>
      </c>
      <c r="F113" s="271">
        <f t="shared" si="64"/>
        <v>0.21324871079380864</v>
      </c>
      <c r="G113" s="272">
        <f t="shared" si="65"/>
        <v>3.5408337747286576E+16</v>
      </c>
      <c r="H113" s="273">
        <f t="shared" si="66"/>
        <v>5.3301814473353856E-3</v>
      </c>
      <c r="I113" s="272">
        <f t="shared" si="67"/>
        <v>266561282447647.94</v>
      </c>
      <c r="J113" s="272" t="str">
        <f t="shared" si="68"/>
        <v/>
      </c>
      <c r="K113" s="272">
        <f t="shared" si="69"/>
        <v>266561282447647.94</v>
      </c>
      <c r="L113" s="274">
        <f t="shared" si="78"/>
        <v>-9.4107883455966432E+16</v>
      </c>
      <c r="M113" s="223" t="str">
        <f t="shared" si="70"/>
        <v/>
      </c>
      <c r="N113" s="223" t="str">
        <f t="shared" si="71"/>
        <v/>
      </c>
      <c r="O113" s="274">
        <f t="shared" si="72"/>
        <v>266561282447647.94</v>
      </c>
      <c r="P113" s="272">
        <f t="shared" si="79"/>
        <v>4.4431228755616246E-4</v>
      </c>
      <c r="Q113" s="274" t="str">
        <f t="shared" si="80"/>
        <v/>
      </c>
      <c r="R113" s="275" t="str">
        <f t="shared" si="82"/>
        <v/>
      </c>
      <c r="S113" s="276">
        <f>IF(AND(E113&gt;0.95*BiasLight,E113&lt;1.05*BiasLight),"",IF(AugerModel="Sinton",calclifetimeauger(Auger_Coefficient,I113,P113),calclifetimerichter(SampleType,I113,SampleDoping,P113)))</f>
        <v>2250.5512920856959</v>
      </c>
      <c r="T113" s="278" t="str">
        <f t="shared" si="81"/>
        <v/>
      </c>
      <c r="U113" s="276">
        <f t="shared" si="73"/>
        <v>1688.2837453071206</v>
      </c>
      <c r="V113" s="275" t="str">
        <f>IF(AugerModel="Sinton","",IF(SampleType="n-type",n_intr_boltzmann(SampleDoping,0,K113,298.15),n_intr_boltzmann(0,SampleDoping,K113,298.15)))</f>
        <v/>
      </c>
      <c r="W113" s="275" t="str">
        <f t="shared" si="56"/>
        <v/>
      </c>
      <c r="X113" s="270">
        <f>IF(AND(A113&gt;TimeofMaxCD,I113&gt;Traps),IF(AugerModel="Sinton",CalcImpliedV(SampleDoping,O113),CalcImpliedVRichter(O113,SampleDoping,V113)),"")</f>
        <v>0.54027542470421253</v>
      </c>
      <c r="Y113" s="277">
        <f t="shared" si="74"/>
        <v>0.25292261324024501</v>
      </c>
      <c r="Z113" s="279">
        <f t="shared" si="75"/>
        <v>1.4126964334648896E-2</v>
      </c>
      <c r="AA113" s="279">
        <f t="shared" si="76"/>
        <v>2.6147708536591426E-2</v>
      </c>
      <c r="AB113" s="226" t="str">
        <f t="shared" si="77"/>
        <v/>
      </c>
    </row>
    <row r="114" spans="1:28">
      <c r="A114" s="268">
        <v>1.0549899999999999E-2</v>
      </c>
      <c r="B114" s="268">
        <v>0.18549099999999999</v>
      </c>
      <c r="C114" s="269">
        <v>1.8048000000000001E-3</v>
      </c>
      <c r="D114" s="270">
        <f>IF(CouplingMode="AC",B114-(A$11-A$10)*SUM(B$9:B114)/0.21,B114)</f>
        <v>0.18549099999999999</v>
      </c>
      <c r="E114" s="271">
        <f t="shared" si="63"/>
        <v>0.2145851118672728</v>
      </c>
      <c r="F114" s="271">
        <f t="shared" si="64"/>
        <v>0.2145851118672728</v>
      </c>
      <c r="G114" s="272">
        <f t="shared" si="65"/>
        <v>3.563023705161958E+16</v>
      </c>
      <c r="H114" s="273">
        <f t="shared" si="66"/>
        <v>5.145432093541802E-3</v>
      </c>
      <c r="I114" s="272">
        <f t="shared" si="67"/>
        <v>257278579155500.41</v>
      </c>
      <c r="J114" s="272" t="str">
        <f t="shared" si="68"/>
        <v/>
      </c>
      <c r="K114" s="272">
        <f t="shared" si="69"/>
        <v>257278579155500.41</v>
      </c>
      <c r="L114" s="274">
        <f t="shared" si="78"/>
        <v>-9.1381724692833776E+16</v>
      </c>
      <c r="M114" s="223" t="str">
        <f t="shared" si="70"/>
        <v/>
      </c>
      <c r="N114" s="223" t="str">
        <f t="shared" si="71"/>
        <v/>
      </c>
      <c r="O114" s="274">
        <f t="shared" si="72"/>
        <v>257278579155500.41</v>
      </c>
      <c r="P114" s="272">
        <f t="shared" si="79"/>
        <v>4.2852258388792876E-4</v>
      </c>
      <c r="Q114" s="274" t="str">
        <f t="shared" si="80"/>
        <v/>
      </c>
      <c r="R114" s="275" t="str">
        <f t="shared" si="82"/>
        <v/>
      </c>
      <c r="S114" s="276">
        <f>IF(AND(E114&gt;0.95*BiasLight,E114&lt;1.05*BiasLight),"",IF(AugerModel="Sinton",calclifetimeauger(Auger_Coefficient,I114,P114),calclifetimerichter(SampleType,I114,SampleDoping,P114)))</f>
        <v>2333.48941664734</v>
      </c>
      <c r="T114" s="278" t="str">
        <f t="shared" si="81"/>
        <v/>
      </c>
      <c r="U114" s="276">
        <f t="shared" si="73"/>
        <v>1674.8903853443464</v>
      </c>
      <c r="V114" s="275" t="str">
        <f>IF(AugerModel="Sinton","",IF(SampleType="n-type",n_intr_boltzmann(SampleDoping,0,K114,298.15),n_intr_boltzmann(0,SampleDoping,K114,298.15)))</f>
        <v/>
      </c>
      <c r="W114" s="275" t="str">
        <f t="shared" si="56"/>
        <v/>
      </c>
      <c r="X114" s="270">
        <f>IF(AND(A114&gt;TimeofMaxCD,I114&gt;Traps),IF(AugerModel="Sinton",CalcImpliedV(SampleDoping,O114),CalcImpliedVRichter(O114,SampleDoping,V114)),"")</f>
        <v>0.53872520745883068</v>
      </c>
      <c r="Y114" s="277">
        <f t="shared" si="74"/>
        <v>0.25310972317198849</v>
      </c>
      <c r="Z114" s="279">
        <f t="shared" si="75"/>
        <v>1.4082901676660388E-2</v>
      </c>
      <c r="AA114" s="279">
        <f t="shared" si="76"/>
        <v>2.6141159688980405E-2</v>
      </c>
      <c r="AB114" s="226" t="str">
        <f t="shared" si="77"/>
        <v/>
      </c>
    </row>
    <row r="115" spans="1:28">
      <c r="A115" s="268">
        <v>1.06499E-2</v>
      </c>
      <c r="B115" s="268">
        <v>0.179173</v>
      </c>
      <c r="C115" s="269">
        <v>1.3804799999999999E-3</v>
      </c>
      <c r="D115" s="270">
        <f>IF(CouplingMode="AC",B115-(A$11-A$10)*SUM(B$9:B115)/0.21,B115)</f>
        <v>0.179173</v>
      </c>
      <c r="E115" s="271">
        <f t="shared" si="63"/>
        <v>0.16413478237507353</v>
      </c>
      <c r="F115" s="271">
        <f t="shared" si="64"/>
        <v>0.16413478237507353</v>
      </c>
      <c r="G115" s="272">
        <f t="shared" si="65"/>
        <v>2.72533408937388E+16</v>
      </c>
      <c r="H115" s="273">
        <f t="shared" si="66"/>
        <v>4.9699489790138614E-3</v>
      </c>
      <c r="I115" s="272">
        <f t="shared" si="67"/>
        <v>248464201574708.03</v>
      </c>
      <c r="J115" s="272" t="str">
        <f t="shared" si="68"/>
        <v/>
      </c>
      <c r="K115" s="272">
        <f t="shared" si="69"/>
        <v>248464201574708.03</v>
      </c>
      <c r="L115" s="274">
        <f t="shared" si="78"/>
        <v>-8.9576019228833952E+16</v>
      </c>
      <c r="M115" s="223" t="str">
        <f t="shared" si="70"/>
        <v/>
      </c>
      <c r="N115" s="223" t="str">
        <f t="shared" si="71"/>
        <v/>
      </c>
      <c r="O115" s="274">
        <f t="shared" si="72"/>
        <v>248464201574708.03</v>
      </c>
      <c r="P115" s="272">
        <f t="shared" si="79"/>
        <v>5.1881247298820015E-4</v>
      </c>
      <c r="Q115" s="274" t="str">
        <f t="shared" si="80"/>
        <v/>
      </c>
      <c r="R115" s="275" t="str">
        <f t="shared" si="82"/>
        <v/>
      </c>
      <c r="S115" s="276">
        <f>IF(AND(E115&gt;0.95*BiasLight,E115&lt;1.05*BiasLight),"",IF(AugerModel="Sinton",calclifetimeauger(Auger_Coefficient,I115,P115),calclifetimerichter(SampleType,I115,SampleDoping,P115)))</f>
        <v>1927.3762381849185</v>
      </c>
      <c r="T115" s="278" t="str">
        <f t="shared" si="81"/>
        <v/>
      </c>
      <c r="U115" s="276">
        <f t="shared" si="73"/>
        <v>1662.1727396249985</v>
      </c>
      <c r="V115" s="275" t="str">
        <f>IF(AugerModel="Sinton","",IF(SampleType="n-type",n_intr_boltzmann(SampleDoping,0,K115,298.15),n_intr_boltzmann(0,SampleDoping,K115,298.15)))</f>
        <v/>
      </c>
      <c r="W115" s="275" t="str">
        <f t="shared" si="56"/>
        <v/>
      </c>
      <c r="X115" s="270">
        <f>IF(AND(A115&gt;TimeofMaxCD,I115&gt;Traps),IF(AugerModel="Sinton",CalcImpliedV(SampleDoping,O115),CalcImpliedVRichter(O115,SampleDoping,V115)),"")</f>
        <v>0.53720715924507867</v>
      </c>
      <c r="Y115" s="277">
        <f t="shared" si="74"/>
        <v>0.20189814627101876</v>
      </c>
      <c r="Z115" s="279">
        <f t="shared" si="75"/>
        <v>1.5006111037049207E-2</v>
      </c>
      <c r="AA115" s="279">
        <f t="shared" si="76"/>
        <v>2.7933564880514346E-2</v>
      </c>
      <c r="AB115" s="226" t="str">
        <f t="shared" si="77"/>
        <v/>
      </c>
    </row>
    <row r="116" spans="1:28">
      <c r="A116" s="268">
        <v>1.07499E-2</v>
      </c>
      <c r="B116" s="268">
        <v>0.17263999999999999</v>
      </c>
      <c r="C116" s="269">
        <v>1.81065E-3</v>
      </c>
      <c r="D116" s="270">
        <f>IF(CouplingMode="AC",B116-(A$11-A$10)*SUM(B$9:B116)/0.21,B116)</f>
        <v>0.17263999999999999</v>
      </c>
      <c r="E116" s="271">
        <f t="shared" si="63"/>
        <v>0.21528065868931598</v>
      </c>
      <c r="F116" s="271">
        <f t="shared" si="64"/>
        <v>0.21528065868931598</v>
      </c>
      <c r="G116" s="272">
        <f t="shared" si="65"/>
        <v>3.5745727347913888E+16</v>
      </c>
      <c r="H116" s="273">
        <f t="shared" si="66"/>
        <v>4.7885108891237644E-3</v>
      </c>
      <c r="I116" s="272">
        <f t="shared" si="67"/>
        <v>239353533984801.22</v>
      </c>
      <c r="J116" s="272" t="str">
        <f t="shared" si="68"/>
        <v/>
      </c>
      <c r="K116" s="272">
        <f t="shared" si="69"/>
        <v>239353533984801.22</v>
      </c>
      <c r="L116" s="274">
        <f t="shared" si="78"/>
        <v>-8.5537715743429312E+16</v>
      </c>
      <c r="M116" s="223" t="str">
        <f t="shared" si="70"/>
        <v/>
      </c>
      <c r="N116" s="223" t="str">
        <f t="shared" si="71"/>
        <v/>
      </c>
      <c r="O116" s="274">
        <f t="shared" si="72"/>
        <v>239353533984801.22</v>
      </c>
      <c r="P116" s="272">
        <f t="shared" si="79"/>
        <v>4.0147125436326562E-4</v>
      </c>
      <c r="Q116" s="274" t="str">
        <f t="shared" si="80"/>
        <v/>
      </c>
      <c r="R116" s="275" t="str">
        <f t="shared" si="82"/>
        <v/>
      </c>
      <c r="S116" s="276">
        <f>IF(AND(E116&gt;0.95*BiasLight,E116&lt;1.05*BiasLight),"",IF(AugerModel="Sinton",calclifetimeauger(Auger_Coefficient,I116,P116),calclifetimerichter(SampleType,I116,SampleDoping,P116)))</f>
        <v>2490.7432564044061</v>
      </c>
      <c r="T116" s="278" t="str">
        <f t="shared" si="81"/>
        <v/>
      </c>
      <c r="U116" s="276">
        <f t="shared" si="73"/>
        <v>1649.0275978820728</v>
      </c>
      <c r="V116" s="275" t="str">
        <f>IF(AugerModel="Sinton","",IF(SampleType="n-type",n_intr_boltzmann(SampleDoping,0,K116,298.15),n_intr_boltzmann(0,SampleDoping,K116,298.15)))</f>
        <v/>
      </c>
      <c r="W116" s="275" t="str">
        <f t="shared" si="56"/>
        <v/>
      </c>
      <c r="X116" s="270">
        <f>IF(AND(A116&gt;TimeofMaxCD,I116&gt;Traps),IF(AugerModel="Sinton",CalcImpliedV(SampleDoping,O116),CalcImpliedVRichter(O116,SampleDoping,V116)),"")</f>
        <v>0.53558779863723238</v>
      </c>
      <c r="Y116" s="277">
        <f t="shared" si="74"/>
        <v>0.25134155885273007</v>
      </c>
      <c r="Z116" s="279">
        <f t="shared" si="75"/>
        <v>1.403403142488369E-2</v>
      </c>
      <c r="AA116" s="279">
        <f t="shared" si="76"/>
        <v>2.6203045440154449E-2</v>
      </c>
      <c r="AB116" s="226" t="str">
        <f t="shared" si="77"/>
        <v/>
      </c>
    </row>
    <row r="117" spans="1:28">
      <c r="A117" s="268">
        <v>1.0849900000000001E-2</v>
      </c>
      <c r="B117" s="268">
        <v>0.16645799999999999</v>
      </c>
      <c r="C117" s="269">
        <v>1.6280400000000001E-3</v>
      </c>
      <c r="D117" s="270">
        <f>IF(CouplingMode="AC",B117-(A$11-A$10)*SUM(B$9:B117)/0.21,B117)</f>
        <v>0.16645799999999999</v>
      </c>
      <c r="E117" s="271">
        <f t="shared" si="63"/>
        <v>0.19356889712122941</v>
      </c>
      <c r="F117" s="271">
        <f t="shared" si="64"/>
        <v>0.19356889712122941</v>
      </c>
      <c r="G117" s="272">
        <f t="shared" si="65"/>
        <v>3.2140653329742208E+16</v>
      </c>
      <c r="H117" s="273">
        <f t="shared" si="66"/>
        <v>4.6168365749355783E-3</v>
      </c>
      <c r="I117" s="272">
        <f t="shared" si="67"/>
        <v>230735795418580.44</v>
      </c>
      <c r="J117" s="272" t="str">
        <f t="shared" si="68"/>
        <v/>
      </c>
      <c r="K117" s="272">
        <f t="shared" si="69"/>
        <v>230735795418580.44</v>
      </c>
      <c r="L117" s="274">
        <f t="shared" si="78"/>
        <v>-8.251133127834416E+16</v>
      </c>
      <c r="M117" s="223" t="str">
        <f t="shared" si="70"/>
        <v/>
      </c>
      <c r="N117" s="223" t="str">
        <f t="shared" si="71"/>
        <v/>
      </c>
      <c r="O117" s="274">
        <f t="shared" si="72"/>
        <v>230735795418580.44</v>
      </c>
      <c r="P117" s="272">
        <f t="shared" si="79"/>
        <v>4.259762494122619E-4</v>
      </c>
      <c r="Q117" s="274" t="str">
        <f t="shared" si="80"/>
        <v/>
      </c>
      <c r="R117" s="275" t="str">
        <f t="shared" si="82"/>
        <v/>
      </c>
      <c r="S117" s="276">
        <f>IF(AND(E117&gt;0.95*BiasLight,E117&lt;1.05*BiasLight),"",IF(AugerModel="Sinton",calclifetimeauger(Auger_Coefficient,I117,P117),calclifetimerichter(SampleType,I117,SampleDoping,P117)))</f>
        <v>2347.4603454589269</v>
      </c>
      <c r="T117" s="278" t="str">
        <f t="shared" si="81"/>
        <v/>
      </c>
      <c r="U117" s="276">
        <f t="shared" si="73"/>
        <v>1636.5936687722074</v>
      </c>
      <c r="V117" s="275" t="str">
        <f>IF(AugerModel="Sinton","",IF(SampleType="n-type",n_intr_boltzmann(SampleDoping,0,K117,298.15),n_intr_boltzmann(0,SampleDoping,K117,298.15)))</f>
        <v/>
      </c>
      <c r="W117" s="275" t="str">
        <f t="shared" si="56"/>
        <v/>
      </c>
      <c r="X117" s="270">
        <f>IF(AND(A117&gt;TimeofMaxCD,I117&gt;Traps),IF(AugerModel="Sinton",CalcImpliedV(SampleDoping,O117),CalcImpliedVRichter(O117,SampleDoping,V117)),"")</f>
        <v>0.53400583697893778</v>
      </c>
      <c r="Y117" s="277">
        <f t="shared" si="74"/>
        <v>0.22835393730752082</v>
      </c>
      <c r="Z117" s="279">
        <f t="shared" si="75"/>
        <v>1.4422222554585975E-2</v>
      </c>
      <c r="AA117" s="279">
        <f t="shared" si="76"/>
        <v>2.7007612194236773E-2</v>
      </c>
      <c r="AB117" s="226" t="str">
        <f t="shared" si="77"/>
        <v/>
      </c>
    </row>
    <row r="118" spans="1:28">
      <c r="A118" s="268">
        <v>1.09499E-2</v>
      </c>
      <c r="B118" s="268">
        <v>0.16117500000000001</v>
      </c>
      <c r="C118" s="269">
        <v>1.3023500000000001E-3</v>
      </c>
      <c r="D118" s="270">
        <f>IF(CouplingMode="AC",B118-(A$11-A$10)*SUM(B$9:B118)/0.21,B118)</f>
        <v>0.16117500000000001</v>
      </c>
      <c r="E118" s="271">
        <f t="shared" si="63"/>
        <v>0.15484536815178565</v>
      </c>
      <c r="F118" s="271">
        <f t="shared" si="64"/>
        <v>0.15484536815178565</v>
      </c>
      <c r="G118" s="272">
        <f t="shared" si="65"/>
        <v>2.5710903825452544E+16</v>
      </c>
      <c r="H118" s="273">
        <f t="shared" si="66"/>
        <v>4.4701395442422708E-3</v>
      </c>
      <c r="I118" s="272">
        <f t="shared" si="67"/>
        <v>223373924361849.44</v>
      </c>
      <c r="J118" s="272" t="str">
        <f t="shared" si="68"/>
        <v/>
      </c>
      <c r="K118" s="272">
        <f t="shared" si="69"/>
        <v>223373924361849.44</v>
      </c>
      <c r="L118" s="274">
        <f t="shared" si="78"/>
        <v>-7.8508293148876864E+16</v>
      </c>
      <c r="M118" s="223" t="str">
        <f t="shared" si="70"/>
        <v/>
      </c>
      <c r="N118" s="223" t="str">
        <f t="shared" si="71"/>
        <v/>
      </c>
      <c r="O118" s="274">
        <f t="shared" si="72"/>
        <v>223373924361849.44</v>
      </c>
      <c r="P118" s="272">
        <f t="shared" si="79"/>
        <v>5.010553105574949E-4</v>
      </c>
      <c r="Q118" s="274" t="str">
        <f t="shared" si="80"/>
        <v/>
      </c>
      <c r="R118" s="275" t="str">
        <f t="shared" si="82"/>
        <v/>
      </c>
      <c r="S118" s="276">
        <f>IF(AND(E118&gt;0.95*BiasLight,E118&lt;1.05*BiasLight),"",IF(AugerModel="Sinton",calclifetimeauger(Auger_Coefficient,I118,P118),calclifetimerichter(SampleType,I118,SampleDoping,P118)))</f>
        <v>1995.7048212374086</v>
      </c>
      <c r="T118" s="278" t="str">
        <f t="shared" si="81"/>
        <v/>
      </c>
      <c r="U118" s="276">
        <f t="shared" si="73"/>
        <v>1625.971742598424</v>
      </c>
      <c r="V118" s="275" t="str">
        <f>IF(AugerModel="Sinton","",IF(SampleType="n-type",n_intr_boltzmann(SampleDoping,0,K118,298.15),n_intr_boltzmann(0,SampleDoping,K118,298.15)))</f>
        <v/>
      </c>
      <c r="W118" s="275" t="str">
        <f t="shared" si="56"/>
        <v/>
      </c>
      <c r="X118" s="270">
        <f>IF(AND(A118&gt;TimeofMaxCD,I118&gt;Traps),IF(AugerModel="Sinton",CalcImpliedV(SampleDoping,O118),CalcImpliedVRichter(O118,SampleDoping,V118)),"")</f>
        <v>0.53261320113766586</v>
      </c>
      <c r="Y118" s="277">
        <f t="shared" si="74"/>
        <v>0.18794281173718058</v>
      </c>
      <c r="Z118" s="279">
        <f t="shared" si="75"/>
        <v>1.5137933249162934E-2</v>
      </c>
      <c r="AA118" s="279">
        <f t="shared" si="76"/>
        <v>2.8422001589198682E-2</v>
      </c>
      <c r="AB118" s="226" t="str">
        <f t="shared" si="77"/>
        <v/>
      </c>
    </row>
    <row r="119" spans="1:28">
      <c r="A119" s="268">
        <v>1.10499E-2</v>
      </c>
      <c r="B119" s="268">
        <v>0.155306</v>
      </c>
      <c r="C119" s="269">
        <v>1.70079E-3</v>
      </c>
      <c r="D119" s="270">
        <f>IF(CouplingMode="AC",B119-(A$11-A$10)*SUM(B$9:B119)/0.21,B119)</f>
        <v>0.155306</v>
      </c>
      <c r="E119" s="271">
        <f t="shared" si="63"/>
        <v>0.20221864606202289</v>
      </c>
      <c r="F119" s="271">
        <f t="shared" si="64"/>
        <v>0.20221864606202289</v>
      </c>
      <c r="G119" s="272">
        <f t="shared" si="65"/>
        <v>3.3576878809299676E+16</v>
      </c>
      <c r="H119" s="273">
        <f t="shared" si="66"/>
        <v>4.3071836087747338E-3</v>
      </c>
      <c r="I119" s="272">
        <f t="shared" si="67"/>
        <v>215198340747011.87</v>
      </c>
      <c r="J119" s="272" t="str">
        <f t="shared" si="68"/>
        <v/>
      </c>
      <c r="K119" s="272">
        <f t="shared" si="69"/>
        <v>215198340747011.87</v>
      </c>
      <c r="L119" s="274">
        <f t="shared" si="78"/>
        <v>-7.5813208761114144E+16</v>
      </c>
      <c r="M119" s="223" t="str">
        <f t="shared" si="70"/>
        <v/>
      </c>
      <c r="N119" s="223" t="str">
        <f t="shared" si="71"/>
        <v/>
      </c>
      <c r="O119" s="274">
        <f t="shared" si="72"/>
        <v>215198340747011.87</v>
      </c>
      <c r="P119" s="272">
        <f t="shared" si="79"/>
        <v>3.8740767431058641E-4</v>
      </c>
      <c r="Q119" s="274" t="str">
        <f t="shared" si="80"/>
        <v/>
      </c>
      <c r="R119" s="275" t="str">
        <f t="shared" si="82"/>
        <v/>
      </c>
      <c r="S119" s="276">
        <f>IF(AND(E119&gt;0.95*BiasLight,E119&lt;1.05*BiasLight),"",IF(AugerModel="Sinton",calclifetimeauger(Auger_Coefficient,I119,P119),calclifetimerichter(SampleType,I119,SampleDoping,P119)))</f>
        <v>2581.1832967943742</v>
      </c>
      <c r="T119" s="278" t="str">
        <f t="shared" si="81"/>
        <v/>
      </c>
      <c r="U119" s="276">
        <f t="shared" si="73"/>
        <v>1614.175767782348</v>
      </c>
      <c r="V119" s="275" t="str">
        <f>IF(AugerModel="Sinton","",IF(SampleType="n-type",n_intr_boltzmann(SampleDoping,0,K119,298.15),n_intr_boltzmann(0,SampleDoping,K119,298.15)))</f>
        <v/>
      </c>
      <c r="W119" s="275" t="str">
        <f t="shared" si="56"/>
        <v/>
      </c>
      <c r="X119" s="270">
        <f>IF(AND(A119&gt;TimeofMaxCD,I119&gt;Traps),IF(AugerModel="Sinton",CalcImpliedV(SampleDoping,O119),CalcImpliedVRichter(O119,SampleDoping,V119)),"")</f>
        <v>0.53101920694952776</v>
      </c>
      <c r="Y119" s="277">
        <f t="shared" si="74"/>
        <v>0.23417989880815573</v>
      </c>
      <c r="Z119" s="279">
        <f t="shared" si="75"/>
        <v>1.4233281398031509E-2</v>
      </c>
      <c r="AA119" s="279">
        <f t="shared" si="76"/>
        <v>2.6803703541714553E-2</v>
      </c>
      <c r="AB119" s="226" t="str">
        <f t="shared" si="77"/>
        <v/>
      </c>
    </row>
    <row r="120" spans="1:28">
      <c r="A120" s="268">
        <v>1.1149900000000001E-2</v>
      </c>
      <c r="B120" s="268">
        <v>0.15004200000000001</v>
      </c>
      <c r="C120" s="269">
        <v>1.338E-3</v>
      </c>
      <c r="D120" s="270">
        <f>IF(CouplingMode="AC",B120-(A$11-A$10)*SUM(B$9:B120)/0.21,B120)</f>
        <v>0.15004200000000001</v>
      </c>
      <c r="E120" s="271">
        <f t="shared" si="63"/>
        <v>0.15908404237500609</v>
      </c>
      <c r="F120" s="271">
        <f t="shared" si="64"/>
        <v>0.15908404237500609</v>
      </c>
      <c r="G120" s="272">
        <f t="shared" si="65"/>
        <v>2.641470366526318E+16</v>
      </c>
      <c r="H120" s="273">
        <f t="shared" si="66"/>
        <v>4.1610374609201894E-3</v>
      </c>
      <c r="I120" s="272">
        <f t="shared" si="67"/>
        <v>207868114746147.03</v>
      </c>
      <c r="J120" s="272" t="str">
        <f t="shared" si="68"/>
        <v/>
      </c>
      <c r="K120" s="272">
        <f t="shared" si="69"/>
        <v>207868114746147.03</v>
      </c>
      <c r="L120" s="274">
        <f t="shared" si="78"/>
        <v>-7.1210619446507656E+16</v>
      </c>
      <c r="M120" s="223" t="str">
        <f t="shared" si="70"/>
        <v/>
      </c>
      <c r="N120" s="223" t="str">
        <f t="shared" si="71"/>
        <v/>
      </c>
      <c r="O120" s="274">
        <f t="shared" si="72"/>
        <v>207868114746147.03</v>
      </c>
      <c r="P120" s="272">
        <f t="shared" si="79"/>
        <v>4.6340841671324009E-4</v>
      </c>
      <c r="Q120" s="274" t="str">
        <f t="shared" si="80"/>
        <v/>
      </c>
      <c r="R120" s="275" t="str">
        <f t="shared" si="82"/>
        <v/>
      </c>
      <c r="S120" s="276">
        <f>IF(AND(E120&gt;0.95*BiasLight,E120&lt;1.05*BiasLight),"",IF(AugerModel="Sinton",calclifetimeauger(Auger_Coefficient,I120,P120),calclifetimerichter(SampleType,I120,SampleDoping,P120)))</f>
        <v>2157.8519615738646</v>
      </c>
      <c r="T120" s="278" t="str">
        <f t="shared" si="81"/>
        <v/>
      </c>
      <c r="U120" s="276">
        <f t="shared" si="73"/>
        <v>1603.5995000348785</v>
      </c>
      <c r="V120" s="275" t="str">
        <f>IF(AugerModel="Sinton","",IF(SampleType="n-type",n_intr_boltzmann(SampleDoping,0,K120,298.15),n_intr_boltzmann(0,SampleDoping,K120,298.15)))</f>
        <v/>
      </c>
      <c r="W120" s="275" t="str">
        <f t="shared" si="56"/>
        <v/>
      </c>
      <c r="X120" s="270">
        <f>IF(AND(A120&gt;TimeofMaxCD,I120&gt;Traps),IF(AugerModel="Sinton",CalcImpliedV(SampleDoping,O120),CalcImpliedVRichter(O120,SampleDoping,V120)),"")</f>
        <v>0.52954486056834404</v>
      </c>
      <c r="Y120" s="277">
        <f t="shared" si="74"/>
        <v>0.18910494036271797</v>
      </c>
      <c r="Z120" s="279">
        <f t="shared" si="75"/>
        <v>1.5029185895191427E-2</v>
      </c>
      <c r="AA120" s="279">
        <f t="shared" si="76"/>
        <v>2.8381327087304873E-2</v>
      </c>
      <c r="AB120" s="226" t="str">
        <f t="shared" si="77"/>
        <v/>
      </c>
    </row>
    <row r="121" spans="1:28">
      <c r="A121" s="268">
        <v>1.12499E-2</v>
      </c>
      <c r="B121" s="268">
        <v>0.14480799999999999</v>
      </c>
      <c r="C121" s="269">
        <v>1.56456E-3</v>
      </c>
      <c r="D121" s="270">
        <f>IF(CouplingMode="AC",B121-(A$11-A$10)*SUM(B$9:B121)/0.21,B121)</f>
        <v>0.14480799999999999</v>
      </c>
      <c r="E121" s="271">
        <f t="shared" si="63"/>
        <v>0.18602132237536587</v>
      </c>
      <c r="F121" s="271">
        <f t="shared" si="64"/>
        <v>0.18602132237536587</v>
      </c>
      <c r="G121" s="272">
        <f t="shared" si="65"/>
        <v>3.0887435550466488E+16</v>
      </c>
      <c r="H121" s="273">
        <f t="shared" si="66"/>
        <v>4.0157351243570822E-3</v>
      </c>
      <c r="I121" s="272">
        <f t="shared" si="67"/>
        <v>200582095845874.59</v>
      </c>
      <c r="J121" s="272" t="str">
        <f t="shared" si="68"/>
        <v/>
      </c>
      <c r="K121" s="272">
        <f t="shared" si="69"/>
        <v>200582095845874.59</v>
      </c>
      <c r="L121" s="274">
        <f t="shared" si="78"/>
        <v>-6.5533772606782688E+16</v>
      </c>
      <c r="M121" s="223" t="str">
        <f t="shared" si="70"/>
        <v/>
      </c>
      <c r="N121" s="223" t="str">
        <f t="shared" si="71"/>
        <v/>
      </c>
      <c r="O121" s="274">
        <f t="shared" si="72"/>
        <v>200582095845874.59</v>
      </c>
      <c r="P121" s="272">
        <f t="shared" si="79"/>
        <v>3.9579495457313965E-4</v>
      </c>
      <c r="Q121" s="274" t="str">
        <f t="shared" si="80"/>
        <v/>
      </c>
      <c r="R121" s="275" t="str">
        <f t="shared" si="82"/>
        <v/>
      </c>
      <c r="S121" s="276">
        <f>IF(AND(E121&gt;0.95*BiasLight,E121&lt;1.05*BiasLight),"",IF(AugerModel="Sinton",calclifetimeauger(Auger_Coefficient,I121,P121),calclifetimerichter(SampleType,I121,SampleDoping,P121)))</f>
        <v>2526.493969817016</v>
      </c>
      <c r="T121" s="278" t="str">
        <f t="shared" si="81"/>
        <v/>
      </c>
      <c r="U121" s="276">
        <f t="shared" si="73"/>
        <v>1593.0870156048877</v>
      </c>
      <c r="V121" s="275" t="str">
        <f>IF(AugerModel="Sinton","",IF(SampleType="n-type",n_intr_boltzmann(SampleDoping,0,K121,298.15),n_intr_boltzmann(0,SampleDoping,K121,298.15)))</f>
        <v/>
      </c>
      <c r="W121" s="275" t="str">
        <f t="shared" si="56"/>
        <v/>
      </c>
      <c r="X121" s="270">
        <f>IF(AND(A121&gt;TimeofMaxCD,I121&gt;Traps),IF(AugerModel="Sinton",CalcImpliedV(SampleDoping,O121),CalcImpliedVRichter(O121,SampleDoping,V121)),"")</f>
        <v>0.52803426996124847</v>
      </c>
      <c r="Y121" s="277">
        <f t="shared" si="74"/>
        <v>0.21364898124801476</v>
      </c>
      <c r="Z121" s="279">
        <f t="shared" si="75"/>
        <v>1.4532710014199601E-2</v>
      </c>
      <c r="AA121" s="279">
        <f t="shared" si="76"/>
        <v>2.7522285656319485E-2</v>
      </c>
      <c r="AB121" s="226" t="str">
        <f t="shared" si="77"/>
        <v/>
      </c>
    </row>
    <row r="122" spans="1:28">
      <c r="A122" s="268">
        <v>1.13499E-2</v>
      </c>
      <c r="B122" s="268">
        <v>0.140852</v>
      </c>
      <c r="C122" s="269">
        <v>1.5611399999999999E-3</v>
      </c>
      <c r="D122" s="270">
        <f>IF(CouplingMode="AC",B122-(A$11-A$10)*SUM(B$9:B122)/0.21,B122)</f>
        <v>0.140852</v>
      </c>
      <c r="E122" s="271">
        <f t="shared" si="63"/>
        <v>0.18561469500247907</v>
      </c>
      <c r="F122" s="271">
        <f t="shared" si="64"/>
        <v>0.18561469500247907</v>
      </c>
      <c r="G122" s="272">
        <f t="shared" si="65"/>
        <v>3.0819918146479044E+16</v>
      </c>
      <c r="H122" s="273">
        <f t="shared" si="66"/>
        <v>3.9059188737328183E-3</v>
      </c>
      <c r="I122" s="272">
        <f t="shared" si="67"/>
        <v>195076737089164.28</v>
      </c>
      <c r="J122" s="272" t="str">
        <f t="shared" si="68"/>
        <v/>
      </c>
      <c r="K122" s="272">
        <f t="shared" si="69"/>
        <v>195076737089164.28</v>
      </c>
      <c r="L122" s="274">
        <f t="shared" si="78"/>
        <v>-6.39066940152292E+16</v>
      </c>
      <c r="M122" s="223" t="str">
        <f t="shared" si="70"/>
        <v/>
      </c>
      <c r="N122" s="223" t="str">
        <f t="shared" si="71"/>
        <v/>
      </c>
      <c r="O122" s="274">
        <f t="shared" si="72"/>
        <v>195076737089164.28</v>
      </c>
      <c r="P122" s="272">
        <f t="shared" si="79"/>
        <v>3.8691020789977137E-4</v>
      </c>
      <c r="Q122" s="274" t="str">
        <f t="shared" si="80"/>
        <v/>
      </c>
      <c r="R122" s="275" t="str">
        <f t="shared" si="82"/>
        <v/>
      </c>
      <c r="S122" s="276">
        <f>IF(AND(E122&gt;0.95*BiasLight,E122&lt;1.05*BiasLight),"",IF(AugerModel="Sinton",calclifetimeauger(Auger_Coefficient,I122,P122),calclifetimerichter(SampleType,I122,SampleDoping,P122)))</f>
        <v>2584.51583340244</v>
      </c>
      <c r="T122" s="278" t="str">
        <f t="shared" si="81"/>
        <v/>
      </c>
      <c r="U122" s="276">
        <f t="shared" si="73"/>
        <v>1585.1437205073048</v>
      </c>
      <c r="V122" s="275" t="str">
        <f>IF(AugerModel="Sinton","",IF(SampleType="n-type",n_intr_boltzmann(SampleDoping,0,K122,298.15),n_intr_boltzmann(0,SampleDoping,K122,298.15)))</f>
        <v/>
      </c>
      <c r="W122" s="275" t="str">
        <f t="shared" si="56"/>
        <v/>
      </c>
      <c r="X122" s="270">
        <f>IF(AND(A122&gt;TimeofMaxCD,I122&gt;Traps),IF(AugerModel="Sinton",CalcImpliedV(SampleDoping,O122),CalcImpliedVRichter(O122,SampleDoping,V122)),"")</f>
        <v>0.52686120840503103</v>
      </c>
      <c r="Y122" s="277">
        <f t="shared" si="74"/>
        <v>0.2125564117952152</v>
      </c>
      <c r="Z122" s="279">
        <f t="shared" si="75"/>
        <v>1.4520571815132832E-2</v>
      </c>
      <c r="AA122" s="279">
        <f t="shared" si="76"/>
        <v>2.756052558716747E-2</v>
      </c>
      <c r="AB122" s="226" t="str">
        <f t="shared" si="77"/>
        <v/>
      </c>
    </row>
    <row r="123" spans="1:28">
      <c r="A123" s="268">
        <v>1.1449900000000001E-2</v>
      </c>
      <c r="B123" s="268">
        <v>0.13636000000000001</v>
      </c>
      <c r="C123" s="269">
        <v>1.1500099999999999E-3</v>
      </c>
      <c r="D123" s="270">
        <f>IF(CouplingMode="AC",B123-(A$11-A$10)*SUM(B$9:B123)/0.21,B123)</f>
        <v>0.13636000000000001</v>
      </c>
      <c r="E123" s="271">
        <f t="shared" si="63"/>
        <v>0.13673261552442506</v>
      </c>
      <c r="F123" s="271">
        <f t="shared" si="64"/>
        <v>0.13673261552442506</v>
      </c>
      <c r="G123" s="272">
        <f t="shared" si="65"/>
        <v>2.2703418058362712E+16</v>
      </c>
      <c r="H123" s="273">
        <f t="shared" si="66"/>
        <v>3.7812311119622922E-3</v>
      </c>
      <c r="I123" s="272">
        <f t="shared" si="67"/>
        <v>188827143272111.87</v>
      </c>
      <c r="J123" s="272" t="str">
        <f t="shared" si="68"/>
        <v/>
      </c>
      <c r="K123" s="272">
        <f t="shared" si="69"/>
        <v>188827143272111.87</v>
      </c>
      <c r="L123" s="274">
        <f t="shared" si="78"/>
        <v>-6.0914428653994528E+16</v>
      </c>
      <c r="M123" s="223" t="str">
        <f t="shared" si="70"/>
        <v/>
      </c>
      <c r="N123" s="223" t="str">
        <f t="shared" si="71"/>
        <v/>
      </c>
      <c r="O123" s="274">
        <f t="shared" si="72"/>
        <v>188827143272111.87</v>
      </c>
      <c r="P123" s="272">
        <f t="shared" si="79"/>
        <v>4.9014314593178517E-4</v>
      </c>
      <c r="Q123" s="274" t="str">
        <f t="shared" si="80"/>
        <v/>
      </c>
      <c r="R123" s="275" t="str">
        <f t="shared" si="82"/>
        <v/>
      </c>
      <c r="S123" s="276">
        <f>IF(AND(E123&gt;0.95*BiasLight,E123&lt;1.05*BiasLight),"",IF(AugerModel="Sinton",calclifetimeauger(Auger_Coefficient,I123,P123),calclifetimerichter(SampleType,I123,SampleDoping,P123)))</f>
        <v>2040.1611192341525</v>
      </c>
      <c r="T123" s="278" t="str">
        <f t="shared" si="81"/>
        <v/>
      </c>
      <c r="U123" s="276">
        <f t="shared" si="73"/>
        <v>1576.1266209643604</v>
      </c>
      <c r="V123" s="275" t="str">
        <f>IF(AugerModel="Sinton","",IF(SampleType="n-type",n_intr_boltzmann(SampleDoping,0,K123,298.15),n_intr_boltzmann(0,SampleDoping,K123,298.15)))</f>
        <v/>
      </c>
      <c r="W123" s="275" t="str">
        <f t="shared" si="56"/>
        <v/>
      </c>
      <c r="X123" s="270">
        <f>IF(AND(A123&gt;TimeofMaxCD,I123&gt;Traps),IF(AugerModel="Sinton",CalcImpliedV(SampleDoping,O123),CalcImpliedVRichter(O123,SampleDoping,V123)),"")</f>
        <v>0.52549460050088725</v>
      </c>
      <c r="Y123" s="277">
        <f t="shared" si="74"/>
        <v>0.16241285623592486</v>
      </c>
      <c r="Z123" s="279">
        <f t="shared" si="75"/>
        <v>1.5405163252394367E-2</v>
      </c>
      <c r="AA123" s="279">
        <f t="shared" si="76"/>
        <v>2.9315550031742632E-2</v>
      </c>
      <c r="AB123" s="226" t="str">
        <f t="shared" si="77"/>
        <v/>
      </c>
    </row>
    <row r="124" spans="1:28">
      <c r="A124" s="268">
        <v>1.15499E-2</v>
      </c>
      <c r="B124" s="268">
        <v>0.131302</v>
      </c>
      <c r="C124" s="269">
        <v>1.6177800000000001E-3</v>
      </c>
      <c r="D124" s="270">
        <f>IF(CouplingMode="AC",B124-(A$11-A$10)*SUM(B$9:B124)/0.21,B124)</f>
        <v>0.131302</v>
      </c>
      <c r="E124" s="271">
        <f t="shared" si="63"/>
        <v>0.19234901500256904</v>
      </c>
      <c r="F124" s="271">
        <f t="shared" si="64"/>
        <v>0.19234901500256904</v>
      </c>
      <c r="G124" s="272">
        <f t="shared" si="65"/>
        <v>3.1938101117779872E+16</v>
      </c>
      <c r="H124" s="273">
        <f t="shared" si="66"/>
        <v>3.6408420625376947E-3</v>
      </c>
      <c r="I124" s="272">
        <f t="shared" si="67"/>
        <v>181792244025413.81</v>
      </c>
      <c r="J124" s="272" t="str">
        <f t="shared" si="68"/>
        <v/>
      </c>
      <c r="K124" s="272">
        <f t="shared" si="69"/>
        <v>181792244025413.81</v>
      </c>
      <c r="L124" s="274">
        <f t="shared" si="78"/>
        <v>-5.953885880768128E+16</v>
      </c>
      <c r="M124" s="223" t="str">
        <f t="shared" si="70"/>
        <v/>
      </c>
      <c r="N124" s="223" t="str">
        <f t="shared" si="71"/>
        <v/>
      </c>
      <c r="O124" s="274">
        <f t="shared" si="72"/>
        <v>181792244025413.81</v>
      </c>
      <c r="P124" s="272">
        <f t="shared" si="79"/>
        <v>3.5244890288449617E-4</v>
      </c>
      <c r="Q124" s="274" t="str">
        <f t="shared" si="80"/>
        <v/>
      </c>
      <c r="R124" s="275" t="str">
        <f t="shared" si="82"/>
        <v/>
      </c>
      <c r="S124" s="276">
        <f>IF(AND(E124&gt;0.95*BiasLight,E124&lt;1.05*BiasLight),"",IF(AugerModel="Sinton",calclifetimeauger(Auger_Coefficient,I124,P124),calclifetimerichter(SampleType,I124,SampleDoping,P124)))</f>
        <v>2837.2358555701412</v>
      </c>
      <c r="T124" s="278" t="str">
        <f t="shared" si="81"/>
        <v/>
      </c>
      <c r="U124" s="276">
        <f t="shared" si="73"/>
        <v>1565.9764594276257</v>
      </c>
      <c r="V124" s="275" t="str">
        <f>IF(AugerModel="Sinton","",IF(SampleType="n-type",n_intr_boltzmann(SampleDoping,0,K124,298.15),n_intr_boltzmann(0,SampleDoping,K124,298.15)))</f>
        <v/>
      </c>
      <c r="W124" s="275" t="str">
        <f t="shared" si="56"/>
        <v/>
      </c>
      <c r="X124" s="270">
        <f>IF(AND(A124&gt;TimeofMaxCD,I124&gt;Traps),IF(AugerModel="Sinton",CalcImpliedV(SampleDoping,O124),CalcImpliedVRichter(O124,SampleDoping,V124)),"")</f>
        <v>0.52390909965446109</v>
      </c>
      <c r="Y124" s="277">
        <f t="shared" si="74"/>
        <v>0.21744934442622829</v>
      </c>
      <c r="Z124" s="279">
        <f t="shared" si="75"/>
        <v>1.4349489328848207E-2</v>
      </c>
      <c r="AA124" s="279">
        <f t="shared" si="76"/>
        <v>2.7389272945082012E-2</v>
      </c>
      <c r="AB124" s="226" t="str">
        <f t="shared" si="77"/>
        <v/>
      </c>
    </row>
    <row r="125" spans="1:28">
      <c r="A125" s="268">
        <v>1.1649899999999999E-2</v>
      </c>
      <c r="B125" s="268">
        <v>0.127688</v>
      </c>
      <c r="C125" s="269">
        <v>1.39317E-3</v>
      </c>
      <c r="D125" s="270">
        <f>IF(CouplingMode="AC",B125-(A$11-A$10)*SUM(B$9:B125)/0.21,B125)</f>
        <v>0.127688</v>
      </c>
      <c r="E125" s="271">
        <f t="shared" si="63"/>
        <v>0.1656435839428903</v>
      </c>
      <c r="F125" s="271">
        <f t="shared" si="64"/>
        <v>0.1656435839428903</v>
      </c>
      <c r="G125" s="272">
        <f t="shared" si="65"/>
        <v>2.7503865998008E+16</v>
      </c>
      <c r="H125" s="273">
        <f t="shared" si="66"/>
        <v>3.5405386728784355E-3</v>
      </c>
      <c r="I125" s="272">
        <f t="shared" si="67"/>
        <v>176767128050752.59</v>
      </c>
      <c r="J125" s="272" t="str">
        <f t="shared" si="68"/>
        <v/>
      </c>
      <c r="K125" s="272">
        <f t="shared" si="69"/>
        <v>176767128050752.59</v>
      </c>
      <c r="L125" s="274">
        <f t="shared" si="78"/>
        <v>-5.626367536330904E+16</v>
      </c>
      <c r="M125" s="223" t="str">
        <f t="shared" si="70"/>
        <v/>
      </c>
      <c r="N125" s="223" t="str">
        <f t="shared" si="71"/>
        <v/>
      </c>
      <c r="O125" s="274">
        <f t="shared" si="72"/>
        <v>176767128050752.59</v>
      </c>
      <c r="P125" s="272">
        <f t="shared" si="79"/>
        <v>3.9353640810649494E-4</v>
      </c>
      <c r="Q125" s="274" t="str">
        <f t="shared" si="80"/>
        <v/>
      </c>
      <c r="R125" s="275" t="str">
        <f t="shared" si="82"/>
        <v/>
      </c>
      <c r="S125" s="276">
        <f>IF(AND(E125&gt;0.95*BiasLight,E125&lt;1.05*BiasLight),"",IF(AugerModel="Sinton",calclifetimeauger(Auger_Coefficient,I125,P125),calclifetimerichter(SampleType,I125,SampleDoping,P125)))</f>
        <v>2541.0090830474655</v>
      </c>
      <c r="T125" s="278" t="str">
        <f t="shared" si="81"/>
        <v/>
      </c>
      <c r="U125" s="276">
        <f t="shared" si="73"/>
        <v>1558.7260728769475</v>
      </c>
      <c r="V125" s="275" t="str">
        <f>IF(AugerModel="Sinton","",IF(SampleType="n-type",n_intr_boltzmann(SampleDoping,0,K125,298.15),n_intr_boltzmann(0,SampleDoping,K125,298.15)))</f>
        <v/>
      </c>
      <c r="W125" s="275" t="str">
        <f t="shared" si="56"/>
        <v/>
      </c>
      <c r="X125" s="270">
        <f>IF(AND(A125&gt;TimeofMaxCD,I125&gt;Traps),IF(AugerModel="Sinton",CalcImpliedV(SampleDoping,O125),CalcImpliedVRichter(O125,SampleDoping,V125)),"")</f>
        <v>0.52274411592788428</v>
      </c>
      <c r="Y125" s="277">
        <f t="shared" si="74"/>
        <v>0.1893631649776327</v>
      </c>
      <c r="Z125" s="279">
        <f t="shared" si="75"/>
        <v>1.4831447248182096E-2</v>
      </c>
      <c r="AA125" s="279">
        <f t="shared" si="76"/>
        <v>2.8372289225782856E-2</v>
      </c>
      <c r="AB125" s="226" t="str">
        <f t="shared" si="77"/>
        <v/>
      </c>
    </row>
    <row r="126" spans="1:28">
      <c r="A126" s="268">
        <v>1.1749900000000001E-2</v>
      </c>
      <c r="B126" s="268">
        <v>0.123782</v>
      </c>
      <c r="C126" s="269">
        <v>1.26085E-3</v>
      </c>
      <c r="D126" s="270">
        <f>IF(CouplingMode="AC",B126-(A$11-A$10)*SUM(B$9:B126)/0.21,B126)</f>
        <v>0.123782</v>
      </c>
      <c r="E126" s="271">
        <f t="shared" si="63"/>
        <v>0.14991114710652201</v>
      </c>
      <c r="F126" s="271">
        <f t="shared" si="64"/>
        <v>0.14991114710652201</v>
      </c>
      <c r="G126" s="272">
        <f t="shared" si="65"/>
        <v>2.48916136893476E+16</v>
      </c>
      <c r="H126" s="273">
        <f t="shared" si="66"/>
        <v>3.4321369132181371E-3</v>
      </c>
      <c r="I126" s="272">
        <f t="shared" si="67"/>
        <v>171337315296003.25</v>
      </c>
      <c r="J126" s="272" t="str">
        <f t="shared" si="68"/>
        <v/>
      </c>
      <c r="K126" s="272">
        <f t="shared" si="69"/>
        <v>171337315296003.25</v>
      </c>
      <c r="L126" s="274">
        <f t="shared" si="78"/>
        <v>-5.3493015601472352E+16</v>
      </c>
      <c r="M126" s="223" t="str">
        <f t="shared" si="70"/>
        <v/>
      </c>
      <c r="N126" s="223" t="str">
        <f t="shared" si="71"/>
        <v/>
      </c>
      <c r="O126" s="274">
        <f t="shared" si="72"/>
        <v>171337315296003.25</v>
      </c>
      <c r="P126" s="272">
        <f t="shared" si="79"/>
        <v>4.1882804193147006E-4</v>
      </c>
      <c r="Q126" s="274" t="str">
        <f t="shared" si="80"/>
        <v/>
      </c>
      <c r="R126" s="275" t="str">
        <f t="shared" si="82"/>
        <v/>
      </c>
      <c r="S126" s="276">
        <f>IF(AND(E126&gt;0.95*BiasLight,E126&lt;1.05*BiasLight),"",IF(AugerModel="Sinton",calclifetimeauger(Auger_Coefficient,I126,P126),calclifetimerichter(SampleType,I126,SampleDoping,P126)))</f>
        <v>2387.565992872057</v>
      </c>
      <c r="T126" s="278" t="str">
        <f t="shared" si="81"/>
        <v/>
      </c>
      <c r="U126" s="276">
        <f t="shared" si="73"/>
        <v>1550.8917777943566</v>
      </c>
      <c r="V126" s="275" t="str">
        <f>IF(AugerModel="Sinton","",IF(SampleType="n-type",n_intr_boltzmann(SampleDoping,0,K126,298.15),n_intr_boltzmann(0,SampleDoping,K126,298.15)))</f>
        <v/>
      </c>
      <c r="W126" s="275" t="str">
        <f t="shared" si="56"/>
        <v/>
      </c>
      <c r="X126" s="270">
        <f>IF(AND(A126&gt;TimeofMaxCD,I126&gt;Traps),IF(AugerModel="Sinton",CalcImpliedV(SampleDoping,O126),CalcImpliedVRichter(O126,SampleDoping,V126)),"")</f>
        <v>0.52145310783113952</v>
      </c>
      <c r="Y126" s="277">
        <f t="shared" si="74"/>
        <v>0.17246267631535328</v>
      </c>
      <c r="Z126" s="279">
        <f t="shared" si="75"/>
        <v>1.5103266824856795E-2</v>
      </c>
      <c r="AA126" s="279">
        <f t="shared" si="76"/>
        <v>2.8963806328962637E-2</v>
      </c>
      <c r="AB126" s="226" t="str">
        <f t="shared" si="77"/>
        <v/>
      </c>
    </row>
    <row r="127" spans="1:28">
      <c r="A127" s="268">
        <v>1.18499E-2</v>
      </c>
      <c r="B127" s="268">
        <v>0.11988600000000001</v>
      </c>
      <c r="C127" s="269">
        <v>1.5377100000000001E-3</v>
      </c>
      <c r="D127" s="270">
        <f>IF(CouplingMode="AC",B127-(A$11-A$10)*SUM(B$9:B127)/0.21,B127)</f>
        <v>0.11988600000000001</v>
      </c>
      <c r="E127" s="271">
        <f t="shared" si="63"/>
        <v>0.18282894080752662</v>
      </c>
      <c r="F127" s="271">
        <f t="shared" si="64"/>
        <v>0.18282894080752662</v>
      </c>
      <c r="G127" s="272">
        <f t="shared" si="65"/>
        <v>3.0357364703372084E+16</v>
      </c>
      <c r="H127" s="273">
        <f t="shared" si="66"/>
        <v>3.3240187161069001E-3</v>
      </c>
      <c r="I127" s="272">
        <f t="shared" si="67"/>
        <v>165922769955162.66</v>
      </c>
      <c r="J127" s="272" t="str">
        <f t="shared" si="68"/>
        <v/>
      </c>
      <c r="K127" s="272">
        <f t="shared" si="69"/>
        <v>165922769955162.66</v>
      </c>
      <c r="L127" s="274">
        <f t="shared" si="78"/>
        <v>-5.0846834328200136E+16</v>
      </c>
      <c r="M127" s="223" t="str">
        <f t="shared" si="70"/>
        <v/>
      </c>
      <c r="N127" s="223" t="str">
        <f t="shared" si="71"/>
        <v/>
      </c>
      <c r="O127" s="274">
        <f t="shared" si="72"/>
        <v>165922769955162.66</v>
      </c>
      <c r="P127" s="272">
        <f t="shared" si="79"/>
        <v>3.4244526678078575E-4</v>
      </c>
      <c r="Q127" s="274" t="str">
        <f t="shared" si="80"/>
        <v/>
      </c>
      <c r="R127" s="275" t="str">
        <f t="shared" si="82"/>
        <v/>
      </c>
      <c r="S127" s="276">
        <f>IF(AND(E127&gt;0.95*BiasLight,E127&lt;1.05*BiasLight),"",IF(AugerModel="Sinton",calclifetimeauger(Auger_Coefficient,I127,P127),calclifetimerichter(SampleType,I127,SampleDoping,P127)))</f>
        <v>2920.1289873634264</v>
      </c>
      <c r="T127" s="278" t="str">
        <f t="shared" si="81"/>
        <v/>
      </c>
      <c r="U127" s="276">
        <f t="shared" si="73"/>
        <v>1543.0795109899241</v>
      </c>
      <c r="V127" s="275" t="str">
        <f>IF(AugerModel="Sinton","",IF(SampleType="n-type",n_intr_boltzmann(SampleDoping,0,K127,298.15),n_intr_boltzmann(0,SampleDoping,K127,298.15)))</f>
        <v/>
      </c>
      <c r="W127" s="275" t="str">
        <f t="shared" si="56"/>
        <v/>
      </c>
      <c r="X127" s="270">
        <f>IF(AND(A127&gt;TimeofMaxCD,I127&gt;Traps),IF(AugerModel="Sinton",CalcImpliedV(SampleDoping,O127),CalcImpliedVRichter(O127,SampleDoping,V127)),"")</f>
        <v>0.52013055824522392</v>
      </c>
      <c r="Y127" s="277">
        <f t="shared" si="74"/>
        <v>0.20426489570062575</v>
      </c>
      <c r="Z127" s="279">
        <f t="shared" si="75"/>
        <v>1.4486015040509425E-2</v>
      </c>
      <c r="AA127" s="279">
        <f t="shared" si="76"/>
        <v>2.78507286504781E-2</v>
      </c>
      <c r="AB127" s="226" t="str">
        <f t="shared" si="77"/>
        <v/>
      </c>
    </row>
    <row r="128" spans="1:28">
      <c r="A128" s="268">
        <v>1.1949899999999999E-2</v>
      </c>
      <c r="B128" s="268">
        <v>0.11595999999999999</v>
      </c>
      <c r="C128" s="269">
        <v>1.1817500000000001E-3</v>
      </c>
      <c r="D128" s="270">
        <f>IF(CouplingMode="AC",B128-(A$11-A$10)*SUM(B$9:B128)/0.21,B128)</f>
        <v>0.11595999999999999</v>
      </c>
      <c r="E128" s="271">
        <f t="shared" si="63"/>
        <v>0.14050640289735686</v>
      </c>
      <c r="F128" s="271">
        <f t="shared" si="64"/>
        <v>0.14050640289735686</v>
      </c>
      <c r="G128" s="272">
        <f t="shared" si="65"/>
        <v>2.3330026948000572E+16</v>
      </c>
      <c r="H128" s="273">
        <f t="shared" si="66"/>
        <v>3.2150740850331334E-3</v>
      </c>
      <c r="I128" s="272">
        <f t="shared" si="67"/>
        <v>160467915272472.62</v>
      </c>
      <c r="J128" s="272" t="str">
        <f t="shared" si="68"/>
        <v/>
      </c>
      <c r="K128" s="272">
        <f t="shared" si="69"/>
        <v>160467915272472.62</v>
      </c>
      <c r="L128" s="274">
        <f t="shared" si="78"/>
        <v>-4.8408996430936616E+16</v>
      </c>
      <c r="M128" s="223" t="str">
        <f t="shared" si="70"/>
        <v/>
      </c>
      <c r="N128" s="223" t="str">
        <f t="shared" si="71"/>
        <v/>
      </c>
      <c r="O128" s="274">
        <f t="shared" si="72"/>
        <v>160467915272472.62</v>
      </c>
      <c r="P128" s="272">
        <f t="shared" si="79"/>
        <v>4.2040863790296975E-4</v>
      </c>
      <c r="Q128" s="274" t="str">
        <f t="shared" si="80"/>
        <v/>
      </c>
      <c r="R128" s="275" t="str">
        <f t="shared" si="82"/>
        <v/>
      </c>
      <c r="S128" s="276">
        <f>IF(AND(E128&gt;0.95*BiasLight,E128&lt;1.05*BiasLight),"",IF(AugerModel="Sinton",calclifetimeauger(Auger_Coefficient,I128,P128),calclifetimerichter(SampleType,I128,SampleDoping,P128)))</f>
        <v>2378.595346314421</v>
      </c>
      <c r="T128" s="278" t="str">
        <f t="shared" si="81"/>
        <v/>
      </c>
      <c r="U128" s="276">
        <f t="shared" si="73"/>
        <v>1535.2090846700726</v>
      </c>
      <c r="V128" s="275" t="str">
        <f>IF(AugerModel="Sinton","",IF(SampleType="n-type",n_intr_boltzmann(SampleDoping,0,K128,298.15),n_intr_boltzmann(0,SampleDoping,K128,298.15)))</f>
        <v/>
      </c>
      <c r="W128" s="275" t="str">
        <f t="shared" si="56"/>
        <v/>
      </c>
      <c r="X128" s="270">
        <f>IF(AND(A128&gt;TimeofMaxCD,I128&gt;Traps),IF(AugerModel="Sinton",CalcImpliedV(SampleDoping,O128),CalcImpliedVRichter(O128,SampleDoping,V128)),"")</f>
        <v>0.51876053983817239</v>
      </c>
      <c r="Y128" s="277">
        <f t="shared" si="74"/>
        <v>0.16091461665587276</v>
      </c>
      <c r="Z128" s="279">
        <f t="shared" si="75"/>
        <v>1.5234953525187174E-2</v>
      </c>
      <c r="AA128" s="279">
        <f t="shared" si="76"/>
        <v>2.9367988417044456E-2</v>
      </c>
      <c r="AB128" s="226" t="str">
        <f t="shared" si="77"/>
        <v/>
      </c>
    </row>
    <row r="129" spans="1:28">
      <c r="A129" s="268">
        <v>1.2049900000000001E-2</v>
      </c>
      <c r="B129" s="268">
        <v>0.113304</v>
      </c>
      <c r="C129" s="269">
        <v>1.4498099999999999E-3</v>
      </c>
      <c r="D129" s="270">
        <f>IF(CouplingMode="AC",B129-(A$11-A$10)*SUM(B$9:B129)/0.21,B129)</f>
        <v>0.113304</v>
      </c>
      <c r="E129" s="271">
        <f t="shared" si="63"/>
        <v>0.17237790394298025</v>
      </c>
      <c r="F129" s="271">
        <f t="shared" si="64"/>
        <v>0.17237790394298025</v>
      </c>
      <c r="G129" s="272">
        <f t="shared" si="65"/>
        <v>2.8622048969308828E+16</v>
      </c>
      <c r="H129" s="273">
        <f t="shared" si="66"/>
        <v>3.1413748209982995E-3</v>
      </c>
      <c r="I129" s="272">
        <f t="shared" si="67"/>
        <v>156778410898417.81</v>
      </c>
      <c r="J129" s="272" t="str">
        <f t="shared" si="68"/>
        <v/>
      </c>
      <c r="K129" s="272">
        <f t="shared" si="69"/>
        <v>156778410898417.81</v>
      </c>
      <c r="L129" s="274">
        <f t="shared" si="78"/>
        <v>-4.5251984094610592E+16</v>
      </c>
      <c r="M129" s="223" t="str">
        <f t="shared" si="70"/>
        <v/>
      </c>
      <c r="N129" s="223" t="str">
        <f t="shared" si="71"/>
        <v/>
      </c>
      <c r="O129" s="274">
        <f t="shared" si="72"/>
        <v>156778410898417.81</v>
      </c>
      <c r="P129" s="272">
        <f t="shared" si="79"/>
        <v>3.4522165843920176E-4</v>
      </c>
      <c r="Q129" s="274" t="str">
        <f t="shared" si="80"/>
        <v/>
      </c>
      <c r="R129" s="275" t="str">
        <f t="shared" si="82"/>
        <v/>
      </c>
      <c r="S129" s="276">
        <f>IF(AND(E129&gt;0.95*BiasLight,E129&lt;1.05*BiasLight),"",IF(AugerModel="Sinton",calclifetimeauger(Auger_Coefficient,I129,P129),calclifetimerichter(SampleType,I129,SampleDoping,P129)))</f>
        <v>2896.6488337216574</v>
      </c>
      <c r="T129" s="278" t="str">
        <f t="shared" si="81"/>
        <v/>
      </c>
      <c r="U129" s="276">
        <f t="shared" si="73"/>
        <v>1529.8857581981656</v>
      </c>
      <c r="V129" s="275" t="str">
        <f>IF(AugerModel="Sinton","",IF(SampleType="n-type",n_intr_boltzmann(SampleDoping,0,K129,298.15),n_intr_boltzmann(0,SampleDoping,K129,298.15)))</f>
        <v/>
      </c>
      <c r="W129" s="275" t="str">
        <f t="shared" si="56"/>
        <v/>
      </c>
      <c r="X129" s="270">
        <f>IF(AND(A129&gt;TimeofMaxCD,I129&gt;Traps),IF(AugerModel="Sinton",CalcImpliedV(SampleDoping,O129),CalcImpliedVRichter(O129,SampleDoping,V129)),"")</f>
        <v>0.51781132617598413</v>
      </c>
      <c r="Y129" s="277">
        <f t="shared" si="74"/>
        <v>0.1914551877639187</v>
      </c>
      <c r="Z129" s="279">
        <f t="shared" si="75"/>
        <v>1.4653578152383709E-2</v>
      </c>
      <c r="AA129" s="279">
        <f t="shared" si="76"/>
        <v>2.8299068428262849E-2</v>
      </c>
      <c r="AB129" s="226" t="str">
        <f t="shared" si="77"/>
        <v/>
      </c>
    </row>
    <row r="130" spans="1:28">
      <c r="A130" s="268">
        <v>1.21499E-2</v>
      </c>
      <c r="B130" s="268">
        <v>0.109651</v>
      </c>
      <c r="C130" s="269">
        <v>1.40733E-3</v>
      </c>
      <c r="D130" s="270">
        <f>IF(CouplingMode="AC",B130-(A$11-A$10)*SUM(B$9:B130)/0.21,B130)</f>
        <v>0.109651</v>
      </c>
      <c r="E130" s="271">
        <f t="shared" si="63"/>
        <v>0.1673271639429128</v>
      </c>
      <c r="F130" s="271">
        <f t="shared" si="64"/>
        <v>0.1673271639429128</v>
      </c>
      <c r="G130" s="272">
        <f t="shared" si="65"/>
        <v>2.7783411740833208E+16</v>
      </c>
      <c r="H130" s="273">
        <f t="shared" si="66"/>
        <v>3.0400151614591014E-3</v>
      </c>
      <c r="I130" s="272">
        <f t="shared" si="67"/>
        <v>151704996608907.37</v>
      </c>
      <c r="J130" s="272" t="str">
        <f t="shared" si="68"/>
        <v/>
      </c>
      <c r="K130" s="272">
        <f t="shared" si="69"/>
        <v>151704996608907.37</v>
      </c>
      <c r="L130" s="274">
        <f t="shared" si="78"/>
        <v>-4.3436689078856712E+16</v>
      </c>
      <c r="M130" s="223" t="str">
        <f t="shared" si="70"/>
        <v/>
      </c>
      <c r="N130" s="223" t="str">
        <f t="shared" si="71"/>
        <v/>
      </c>
      <c r="O130" s="274">
        <f t="shared" si="72"/>
        <v>151704996608907.37</v>
      </c>
      <c r="P130" s="272">
        <f t="shared" si="79"/>
        <v>3.4451585326652248E-4</v>
      </c>
      <c r="Q130" s="274" t="str">
        <f t="shared" si="80"/>
        <v/>
      </c>
      <c r="R130" s="275" t="str">
        <f t="shared" si="82"/>
        <v/>
      </c>
      <c r="S130" s="276">
        <f>IF(AND(E130&gt;0.95*BiasLight,E130&lt;1.05*BiasLight),"",IF(AugerModel="Sinton",calclifetimeauger(Auger_Coefficient,I130,P130),calclifetimerichter(SampleType,I130,SampleDoping,P130)))</f>
        <v>2902.5858423193717</v>
      </c>
      <c r="T130" s="278" t="str">
        <f t="shared" si="81"/>
        <v/>
      </c>
      <c r="U130" s="276">
        <f t="shared" si="73"/>
        <v>1522.5656854045887</v>
      </c>
      <c r="V130" s="275" t="str">
        <f>IF(AugerModel="Sinton","",IF(SampleType="n-type",n_intr_boltzmann(SampleDoping,0,K130,298.15),n_intr_boltzmann(0,SampleDoping,K130,298.15)))</f>
        <v/>
      </c>
      <c r="W130" s="275" t="str">
        <f t="shared" si="56"/>
        <v/>
      </c>
      <c r="X130" s="270">
        <f>IF(AND(A130&gt;TimeofMaxCD,I130&gt;Traps),IF(AugerModel="Sinton",CalcImpliedV(SampleDoping,O130),CalcImpliedVRichter(O130,SampleDoping,V130)),"")</f>
        <v>0.51647469119119538</v>
      </c>
      <c r="Y130" s="277">
        <f t="shared" si="74"/>
        <v>0.18563915760194655</v>
      </c>
      <c r="Z130" s="279">
        <f t="shared" si="75"/>
        <v>1.4720886760850777E-2</v>
      </c>
      <c r="AA130" s="279">
        <f t="shared" si="76"/>
        <v>2.8502629483931875E-2</v>
      </c>
      <c r="AB130" s="226" t="str">
        <f t="shared" si="77"/>
        <v/>
      </c>
    </row>
    <row r="131" spans="1:28">
      <c r="A131" s="268">
        <v>1.2249899999999999E-2</v>
      </c>
      <c r="B131" s="268">
        <v>0.106751</v>
      </c>
      <c r="C131" s="269">
        <v>1.14708E-3</v>
      </c>
      <c r="D131" s="270">
        <f>IF(CouplingMode="AC",B131-(A$11-A$10)*SUM(B$9:B131)/0.21,B131)</f>
        <v>0.106751</v>
      </c>
      <c r="E131" s="271">
        <f t="shared" si="63"/>
        <v>0.13638424762894019</v>
      </c>
      <c r="F131" s="271">
        <f t="shared" si="64"/>
        <v>0.13638424762894019</v>
      </c>
      <c r="G131" s="272">
        <f t="shared" si="65"/>
        <v>2.2645574200560604E+16</v>
      </c>
      <c r="H131" s="273">
        <f t="shared" si="66"/>
        <v>2.9595527396560298E-3</v>
      </c>
      <c r="I131" s="272">
        <f t="shared" si="67"/>
        <v>147678237239640</v>
      </c>
      <c r="J131" s="272" t="str">
        <f t="shared" si="68"/>
        <v/>
      </c>
      <c r="K131" s="272">
        <f t="shared" si="69"/>
        <v>147678237239640</v>
      </c>
      <c r="L131" s="274">
        <f t="shared" si="78"/>
        <v>-4.2899658417462936E+16</v>
      </c>
      <c r="M131" s="223" t="str">
        <f t="shared" si="70"/>
        <v/>
      </c>
      <c r="N131" s="223" t="str">
        <f t="shared" si="71"/>
        <v/>
      </c>
      <c r="O131" s="274">
        <f t="shared" si="72"/>
        <v>147678237239640</v>
      </c>
      <c r="P131" s="272">
        <f t="shared" si="79"/>
        <v>4.0304331004987408E-4</v>
      </c>
      <c r="Q131" s="274" t="str">
        <f t="shared" si="80"/>
        <v/>
      </c>
      <c r="R131" s="275" t="str">
        <f t="shared" si="82"/>
        <v/>
      </c>
      <c r="S131" s="276">
        <f>IF(AND(E131&gt;0.95*BiasLight,E131&lt;1.05*BiasLight),"",IF(AugerModel="Sinton",calclifetimeauger(Auger_Coefficient,I131,P131),calclifetimerichter(SampleType,I131,SampleDoping,P131)))</f>
        <v>2481.0867313886952</v>
      </c>
      <c r="T131" s="278" t="str">
        <f t="shared" si="81"/>
        <v/>
      </c>
      <c r="U131" s="276">
        <f t="shared" si="73"/>
        <v>1516.7557574106936</v>
      </c>
      <c r="V131" s="275" t="str">
        <f>IF(AugerModel="Sinton","",IF(SampleType="n-type",n_intr_boltzmann(SampleDoping,0,K131,298.15),n_intr_boltzmann(0,SampleDoping,K131,298.15)))</f>
        <v/>
      </c>
      <c r="W131" s="275" t="str">
        <f t="shared" si="56"/>
        <v/>
      </c>
      <c r="X131" s="270">
        <f>IF(AND(A131&gt;TimeofMaxCD,I131&gt;Traps),IF(AugerModel="Sinton",CalcImpliedV(SampleDoping,O131),CalcImpliedVRichter(O131,SampleDoping,V131)),"")</f>
        <v>0.51538663161694653</v>
      </c>
      <c r="Y131" s="277">
        <f t="shared" si="74"/>
        <v>0.15446984046703902</v>
      </c>
      <c r="Z131" s="279">
        <f t="shared" si="75"/>
        <v>1.5252122929828128E-2</v>
      </c>
      <c r="AA131" s="279">
        <f t="shared" si="76"/>
        <v>2.9593555583653636E-2</v>
      </c>
      <c r="AB131" s="226" t="str">
        <f t="shared" si="77"/>
        <v/>
      </c>
    </row>
    <row r="132" spans="1:28">
      <c r="A132" s="268">
        <v>1.23499E-2</v>
      </c>
      <c r="B132" s="268">
        <v>0.10359699999999999</v>
      </c>
      <c r="C132" s="269">
        <v>1.5835999999999999E-3</v>
      </c>
      <c r="D132" s="270">
        <f>IF(CouplingMode="AC",B132-(A$11-A$10)*SUM(B$9:B132)/0.21,B132)</f>
        <v>0.10359699999999999</v>
      </c>
      <c r="E132" s="271">
        <f t="shared" si="63"/>
        <v>0.18828511921155427</v>
      </c>
      <c r="F132" s="271">
        <f t="shared" si="64"/>
        <v>0.18828511921155427</v>
      </c>
      <c r="G132" s="272">
        <f t="shared" si="65"/>
        <v>3.126332191652524E+16</v>
      </c>
      <c r="H132" s="273">
        <f t="shared" si="66"/>
        <v>2.8720467113588222E-3</v>
      </c>
      <c r="I132" s="272">
        <f t="shared" si="67"/>
        <v>143299657562433.16</v>
      </c>
      <c r="J132" s="272" t="str">
        <f t="shared" si="68"/>
        <v/>
      </c>
      <c r="K132" s="272">
        <f t="shared" si="69"/>
        <v>143299657562433.16</v>
      </c>
      <c r="L132" s="274"/>
      <c r="M132" s="223" t="str">
        <f t="shared" si="70"/>
        <v/>
      </c>
      <c r="N132" s="223" t="str">
        <f t="shared" si="71"/>
        <v/>
      </c>
      <c r="O132" s="274">
        <f t="shared" si="72"/>
        <v>143299657562433.16</v>
      </c>
      <c r="P132" s="272"/>
      <c r="Q132" s="274" t="str">
        <f t="shared" si="80"/>
        <v/>
      </c>
      <c r="R132" s="275" t="str">
        <f t="shared" si="82"/>
        <v/>
      </c>
      <c r="S132" s="278"/>
      <c r="T132" s="278" t="str">
        <f t="shared" si="81"/>
        <v/>
      </c>
      <c r="U132" s="276">
        <f t="shared" si="73"/>
        <v>1510.4382126290859</v>
      </c>
      <c r="V132" s="275" t="str">
        <f>IF(AugerModel="Sinton","",IF(SampleType="n-type",n_intr_boltzmann(SampleDoping,0,K132,298.15),n_intr_boltzmann(0,SampleDoping,K132,298.15)))</f>
        <v/>
      </c>
      <c r="W132" s="275" t="str">
        <f t="shared" si="56"/>
        <v/>
      </c>
      <c r="X132" s="270">
        <f>IF(AND(A132&gt;TimeofMaxCD,I132&gt;Traps),IF(AugerModel="Sinton",CalcImpliedV(SampleDoping,O132),CalcImpliedVRichter(O132,SampleDoping,V132)),"")</f>
        <v>0.5141747113139773</v>
      </c>
      <c r="Y132" s="277" t="str">
        <f t="shared" si="74"/>
        <v/>
      </c>
      <c r="Z132" s="226" t="str">
        <f t="shared" si="75"/>
        <v/>
      </c>
      <c r="AA132" s="226" t="str">
        <f t="shared" si="76"/>
        <v/>
      </c>
      <c r="AB132" s="226" t="str">
        <f t="shared" si="77"/>
        <v/>
      </c>
    </row>
    <row r="133" spans="1:28">
      <c r="A133" s="268">
        <v>1.24499E-2</v>
      </c>
      <c r="B133" s="268">
        <v>0.100882</v>
      </c>
      <c r="C133" s="269">
        <v>1.36192E-3</v>
      </c>
      <c r="D133" s="270">
        <f>IF(CouplingMode="AC",B133-(A$11-A$10)*SUM(B$9:B133)/0.21,B133)</f>
        <v>0.100882</v>
      </c>
      <c r="E133" s="271">
        <f t="shared" si="63"/>
        <v>0.16192805604736046</v>
      </c>
      <c r="F133" s="271">
        <f t="shared" si="64"/>
        <v>0.16192805604736046</v>
      </c>
      <c r="G133" s="272">
        <f t="shared" si="65"/>
        <v>2.688693065455548E+16</v>
      </c>
      <c r="H133" s="273">
        <f t="shared" si="66"/>
        <v>2.7967236655114724E-3</v>
      </c>
      <c r="I133" s="272">
        <f t="shared" si="67"/>
        <v>139531251212923.47</v>
      </c>
      <c r="J133" s="272" t="str">
        <f t="shared" si="68"/>
        <v/>
      </c>
      <c r="K133" s="272">
        <f t="shared" si="69"/>
        <v>139531251212923.47</v>
      </c>
      <c r="L133" s="274"/>
      <c r="M133" s="223" t="str">
        <f t="shared" si="70"/>
        <v/>
      </c>
      <c r="N133" s="223" t="str">
        <f t="shared" si="71"/>
        <v/>
      </c>
      <c r="O133" s="274">
        <f t="shared" si="72"/>
        <v>139531251212923.47</v>
      </c>
      <c r="P133" s="272"/>
      <c r="Q133" s="274" t="str">
        <f t="shared" si="80"/>
        <v/>
      </c>
      <c r="R133" s="275" t="str">
        <f t="shared" si="82"/>
        <v/>
      </c>
      <c r="S133" s="278"/>
      <c r="T133" s="278" t="str">
        <f t="shared" si="81"/>
        <v/>
      </c>
      <c r="U133" s="276">
        <f t="shared" si="73"/>
        <v>1505.0010440439733</v>
      </c>
      <c r="V133" s="275" t="str">
        <f>IF(AugerModel="Sinton","",IF(SampleType="n-type",n_intr_boltzmann(SampleDoping,0,K133,298.15),n_intr_boltzmann(0,SampleDoping,K133,298.15)))</f>
        <v/>
      </c>
      <c r="W133" s="275" t="str">
        <f t="shared" si="56"/>
        <v/>
      </c>
      <c r="X133" s="270">
        <f>IF(AND(A133&gt;TimeofMaxCD,I133&gt;Traps),IF(AugerModel="Sinton",CalcImpliedV(SampleDoping,O133),CalcImpliedVRichter(O133,SampleDoping,V133)),"")</f>
        <v>0.51310642656917571</v>
      </c>
      <c r="Y133" s="277" t="str">
        <f t="shared" si="74"/>
        <v/>
      </c>
      <c r="Z133" s="226" t="str">
        <f t="shared" si="75"/>
        <v/>
      </c>
      <c r="AA133" s="226" t="str">
        <f t="shared" si="76"/>
        <v/>
      </c>
      <c r="AB133" s="226" t="str">
        <f t="shared" si="77"/>
        <v/>
      </c>
    </row>
    <row r="134" spans="1:28">
      <c r="A134" s="280" t="s">
        <v>57</v>
      </c>
      <c r="B134" s="281" t="s">
        <v>132</v>
      </c>
      <c r="C134" s="282"/>
      <c r="D134" s="227"/>
      <c r="E134" s="227"/>
      <c r="F134" s="227"/>
      <c r="G134" s="227"/>
      <c r="H134" s="227"/>
      <c r="I134" s="227"/>
      <c r="J134" s="227"/>
      <c r="K134" s="227"/>
      <c r="L134" s="227"/>
      <c r="M134" s="227"/>
      <c r="N134" s="226" t="str">
        <f t="shared" ref="N134" si="83">IF(M134="","",1/M134)</f>
        <v/>
      </c>
      <c r="O134" s="227"/>
      <c r="R134" s="227"/>
      <c r="S134" s="227"/>
      <c r="T134" s="227"/>
      <c r="U134" s="227"/>
      <c r="V134" s="275" t="str">
        <f>IF(AugerModel="Sinton","",IF(SampleType="n-type",n_intr_boltzmann(SampleDoping,0,K134,298.15),n_intr_boltzmann(0,SampleDoping,K134,298.15)))</f>
        <v/>
      </c>
      <c r="W134" s="275" t="str">
        <f t="shared" si="56"/>
        <v/>
      </c>
      <c r="Z134" s="226" t="str">
        <f t="shared" si="75"/>
        <v/>
      </c>
      <c r="AA134" s="226" t="str">
        <f t="shared" si="76"/>
        <v/>
      </c>
    </row>
    <row r="135" spans="1:28">
      <c r="A135" s="280"/>
      <c r="B135" s="283"/>
      <c r="C135" s="284"/>
      <c r="D135" s="227"/>
      <c r="E135" s="227"/>
      <c r="F135" s="227"/>
      <c r="G135" s="223"/>
      <c r="H135" s="223"/>
      <c r="I135" s="227"/>
      <c r="J135" s="227"/>
      <c r="K135" s="227"/>
      <c r="L135" s="227"/>
      <c r="M135" s="227"/>
      <c r="N135" s="227"/>
      <c r="O135" s="227"/>
      <c r="R135" s="227"/>
      <c r="S135" s="227"/>
      <c r="T135" s="227"/>
      <c r="U135" s="223"/>
      <c r="V135" s="227"/>
      <c r="W135" s="227"/>
      <c r="X135" s="227"/>
      <c r="Y135" s="227"/>
    </row>
    <row r="136" spans="1:28">
      <c r="A136" s="280" t="s">
        <v>80</v>
      </c>
      <c r="B136" s="283" t="s">
        <v>133</v>
      </c>
      <c r="C136" s="285"/>
      <c r="D136" s="227"/>
      <c r="E136" s="227"/>
      <c r="F136" s="227"/>
      <c r="G136" s="227"/>
      <c r="H136" s="227"/>
      <c r="I136" s="227"/>
      <c r="J136" s="227"/>
      <c r="K136" s="227"/>
      <c r="L136" s="227"/>
      <c r="M136" s="227"/>
      <c r="N136" s="227"/>
      <c r="O136" s="227"/>
      <c r="R136" s="227"/>
      <c r="S136" s="227"/>
      <c r="T136" s="227"/>
      <c r="U136" s="223"/>
      <c r="V136" s="227"/>
      <c r="W136" s="227"/>
      <c r="X136" s="227"/>
      <c r="Y136" s="227"/>
    </row>
    <row r="137" spans="1:28">
      <c r="A137" s="280"/>
      <c r="B137" s="283"/>
      <c r="C137" s="285"/>
      <c r="D137" s="227"/>
      <c r="E137" s="227"/>
      <c r="F137" s="227"/>
      <c r="G137" s="227"/>
      <c r="H137" s="227"/>
      <c r="I137" s="227"/>
      <c r="J137" s="227"/>
      <c r="K137" s="227"/>
      <c r="L137" s="227"/>
      <c r="M137" s="227"/>
      <c r="N137" s="227"/>
      <c r="O137" s="227"/>
      <c r="R137" s="227"/>
      <c r="S137" s="227"/>
      <c r="T137" s="227"/>
      <c r="U137" s="223"/>
      <c r="V137" s="227"/>
      <c r="W137" s="227"/>
      <c r="X137" s="227"/>
      <c r="Y137" s="227"/>
    </row>
    <row r="138" spans="1:28">
      <c r="A138" s="280" t="s">
        <v>69</v>
      </c>
      <c r="B138" s="283">
        <v>5</v>
      </c>
      <c r="C138" s="285"/>
      <c r="D138" s="227"/>
      <c r="E138" s="227"/>
      <c r="F138" s="227"/>
      <c r="G138" s="227"/>
      <c r="H138" s="227"/>
      <c r="I138" s="227"/>
      <c r="J138" s="227"/>
      <c r="K138" s="227"/>
      <c r="L138" s="227"/>
      <c r="M138" s="227"/>
      <c r="N138" s="227"/>
      <c r="O138" s="227"/>
      <c r="R138" s="227"/>
      <c r="S138" s="227"/>
      <c r="T138" s="227"/>
      <c r="U138" s="223"/>
      <c r="V138" s="227"/>
      <c r="W138" s="227"/>
      <c r="X138" s="227"/>
      <c r="Y138" s="227"/>
    </row>
    <row r="139" spans="1:28">
      <c r="A139" s="286"/>
      <c r="B139" s="283"/>
      <c r="C139" s="283"/>
      <c r="D139" s="287"/>
      <c r="E139" s="287"/>
      <c r="F139" s="287"/>
      <c r="G139" s="287"/>
      <c r="H139" s="287"/>
      <c r="I139" s="287"/>
      <c r="J139" s="287"/>
      <c r="K139" s="287"/>
      <c r="L139" s="287"/>
      <c r="M139" s="227"/>
      <c r="N139" s="287"/>
      <c r="O139" s="227"/>
      <c r="P139" s="287"/>
      <c r="Q139" s="287"/>
      <c r="R139" s="287"/>
      <c r="S139" s="287"/>
      <c r="T139" s="287"/>
      <c r="U139" s="287"/>
      <c r="V139" s="287" t="str">
        <f>IF(User!S6="","",User!S6)</f>
        <v/>
      </c>
      <c r="W139" s="227"/>
    </row>
    <row r="140" spans="1:28">
      <c r="A140" s="280" t="s">
        <v>68</v>
      </c>
      <c r="B140" s="288">
        <v>5</v>
      </c>
      <c r="C140" s="289"/>
      <c r="D140" s="227"/>
      <c r="E140" s="227"/>
      <c r="F140" s="290"/>
      <c r="G140" s="290"/>
      <c r="H140" s="290"/>
      <c r="I140" s="290"/>
      <c r="J140" s="291"/>
      <c r="K140" s="290"/>
      <c r="L140" s="290"/>
      <c r="M140" s="227"/>
      <c r="N140" s="290"/>
      <c r="O140" s="227"/>
      <c r="P140" s="290"/>
      <c r="Q140" s="290"/>
      <c r="R140" s="290"/>
      <c r="S140" s="290"/>
      <c r="T140" s="227"/>
      <c r="U140" s="227"/>
      <c r="V140" s="227"/>
      <c r="W140" s="227"/>
    </row>
    <row r="141" spans="1:28">
      <c r="A141" s="292"/>
      <c r="B141" s="283"/>
      <c r="C141" s="284"/>
      <c r="D141" s="293"/>
      <c r="E141" s="277"/>
      <c r="F141" s="293"/>
      <c r="G141" s="227"/>
      <c r="H141" s="227"/>
      <c r="I141" s="227"/>
      <c r="J141" s="294"/>
      <c r="K141" s="277"/>
      <c r="L141" s="294"/>
      <c r="N141" s="275"/>
      <c r="P141" s="227"/>
      <c r="Q141" s="277"/>
      <c r="R141" s="275"/>
    </row>
    <row r="142" spans="1:28">
      <c r="A142" s="280" t="s">
        <v>67</v>
      </c>
      <c r="B142" s="283">
        <v>10</v>
      </c>
      <c r="C142" s="284"/>
      <c r="D142" s="227"/>
      <c r="E142" s="227"/>
      <c r="F142" s="227"/>
      <c r="G142" s="227"/>
      <c r="H142" s="227"/>
      <c r="I142" s="227"/>
      <c r="J142" s="227"/>
      <c r="K142" s="227"/>
      <c r="L142" s="227"/>
      <c r="P142" s="227"/>
      <c r="Q142" s="227"/>
    </row>
    <row r="143" spans="1:28">
      <c r="A143" s="295"/>
      <c r="B143" s="296"/>
      <c r="C143" s="297"/>
    </row>
    <row r="144" spans="1:28">
      <c r="A144" s="295" t="s">
        <v>66</v>
      </c>
      <c r="B144" s="296">
        <v>20</v>
      </c>
      <c r="C144" s="297"/>
    </row>
    <row r="145" spans="1:3">
      <c r="A145" s="295"/>
      <c r="B145" s="296"/>
      <c r="C145" s="297"/>
    </row>
    <row r="146" spans="1:3">
      <c r="A146" s="295" t="s">
        <v>73</v>
      </c>
      <c r="B146" s="296">
        <v>1</v>
      </c>
      <c r="C146" s="297"/>
    </row>
    <row r="147" spans="1:3">
      <c r="A147" s="295"/>
      <c r="B147" s="296"/>
      <c r="C147" s="297"/>
    </row>
    <row r="148" spans="1:3">
      <c r="A148" s="295" t="s">
        <v>72</v>
      </c>
      <c r="B148" s="296">
        <v>1</v>
      </c>
      <c r="C148" s="297"/>
    </row>
    <row r="149" spans="1:3">
      <c r="A149" s="295"/>
      <c r="B149" s="296"/>
      <c r="C149" s="297"/>
    </row>
    <row r="150" spans="1:3">
      <c r="A150" s="295" t="s">
        <v>71</v>
      </c>
      <c r="B150" s="298">
        <v>5.2885600000000004</v>
      </c>
      <c r="C150" s="297"/>
    </row>
    <row r="151" spans="1:3">
      <c r="A151" s="295"/>
      <c r="B151" s="296"/>
      <c r="C151" s="297"/>
    </row>
    <row r="152" spans="1:3">
      <c r="A152" s="295" t="s">
        <v>70</v>
      </c>
      <c r="B152" s="296">
        <v>0.44355600000000001</v>
      </c>
      <c r="C152" s="297"/>
    </row>
    <row r="153" spans="1:3">
      <c r="A153" s="295"/>
      <c r="B153" s="296"/>
      <c r="C153" s="297"/>
    </row>
    <row r="154" spans="1:3">
      <c r="A154" s="295" t="s">
        <v>63</v>
      </c>
      <c r="B154" s="296">
        <v>125</v>
      </c>
      <c r="C154" s="297"/>
    </row>
    <row r="155" spans="1:3">
      <c r="A155" s="295"/>
      <c r="B155" s="296"/>
      <c r="C155" s="297"/>
    </row>
    <row r="156" spans="1:3">
      <c r="A156" s="295" t="s">
        <v>61</v>
      </c>
      <c r="B156" s="296">
        <v>12500</v>
      </c>
      <c r="C156" s="297"/>
    </row>
    <row r="157" spans="1:3">
      <c r="A157" s="295"/>
      <c r="B157" s="296"/>
      <c r="C157" s="297"/>
    </row>
    <row r="158" spans="1:3">
      <c r="A158" s="295" t="s">
        <v>58</v>
      </c>
      <c r="B158" s="296">
        <v>0.2</v>
      </c>
      <c r="C158" s="297"/>
    </row>
    <row r="159" spans="1:3">
      <c r="A159" s="295"/>
      <c r="B159" s="296"/>
      <c r="C159" s="297"/>
    </row>
    <row r="160" spans="1:3">
      <c r="A160" s="295" t="s">
        <v>59</v>
      </c>
      <c r="B160" s="296">
        <v>0.02</v>
      </c>
      <c r="C160" s="297"/>
    </row>
    <row r="161" spans="1:3">
      <c r="A161" s="295"/>
      <c r="B161" s="296"/>
      <c r="C161" s="297"/>
    </row>
    <row r="162" spans="1:3">
      <c r="A162" s="295" t="s">
        <v>60</v>
      </c>
      <c r="B162" s="296">
        <v>1000</v>
      </c>
      <c r="C162" s="297"/>
    </row>
    <row r="163" spans="1:3">
      <c r="A163" s="295"/>
      <c r="B163" s="296"/>
      <c r="C163" s="297"/>
    </row>
    <row r="164" spans="1:3">
      <c r="A164" s="295" t="s">
        <v>62</v>
      </c>
      <c r="B164" s="296">
        <v>0.05</v>
      </c>
      <c r="C164" s="297"/>
    </row>
    <row r="165" spans="1:3">
      <c r="A165" s="295"/>
      <c r="B165" s="296"/>
      <c r="C165" s="297"/>
    </row>
    <row r="166" spans="1:3">
      <c r="A166" s="295" t="s">
        <v>64</v>
      </c>
      <c r="B166" s="296">
        <v>-0.84539799999999998</v>
      </c>
      <c r="C166" s="297"/>
    </row>
    <row r="167" spans="1:3">
      <c r="A167" s="295"/>
      <c r="B167" s="296"/>
      <c r="C167" s="297"/>
    </row>
    <row r="168" spans="1:3">
      <c r="A168" s="295" t="s">
        <v>76</v>
      </c>
      <c r="B168" s="296" t="s">
        <v>132</v>
      </c>
      <c r="C168" s="297"/>
    </row>
    <row r="169" spans="1:3">
      <c r="A169" s="295"/>
      <c r="B169" s="296"/>
      <c r="C169" s="297"/>
    </row>
    <row r="170" spans="1:3">
      <c r="A170" s="295" t="s">
        <v>74</v>
      </c>
      <c r="B170" s="296" t="s">
        <v>132</v>
      </c>
      <c r="C170" s="297"/>
    </row>
    <row r="171" spans="1:3">
      <c r="A171" s="295"/>
      <c r="B171" s="296"/>
      <c r="C171" s="297"/>
    </row>
    <row r="172" spans="1:3">
      <c r="A172" s="295" t="s">
        <v>75</v>
      </c>
      <c r="B172" s="296" t="s">
        <v>133</v>
      </c>
      <c r="C172" s="297"/>
    </row>
    <row r="173" spans="1:3">
      <c r="A173" s="295"/>
      <c r="B173" s="296"/>
      <c r="C173" s="297"/>
    </row>
    <row r="174" spans="1:3">
      <c r="A174" s="295" t="s">
        <v>79</v>
      </c>
      <c r="B174" s="296">
        <v>20000</v>
      </c>
      <c r="C174" s="297"/>
    </row>
    <row r="175" spans="1:3">
      <c r="A175" s="295"/>
      <c r="B175" s="296"/>
      <c r="C175" s="297"/>
    </row>
    <row r="176" spans="1:3">
      <c r="A176" s="295" t="s">
        <v>77</v>
      </c>
      <c r="B176" s="296">
        <v>6</v>
      </c>
      <c r="C176" s="297"/>
    </row>
    <row r="177" spans="1:3">
      <c r="A177" s="295"/>
      <c r="B177" s="296"/>
      <c r="C177" s="297"/>
    </row>
    <row r="178" spans="1:3">
      <c r="A178" s="295" t="s">
        <v>78</v>
      </c>
      <c r="B178" s="296">
        <v>1</v>
      </c>
      <c r="C178" s="297"/>
    </row>
    <row r="179" spans="1:3">
      <c r="A179" s="295"/>
      <c r="B179" s="296"/>
      <c r="C179" s="297"/>
    </row>
    <row r="180" spans="1:3">
      <c r="A180" s="295" t="s">
        <v>81</v>
      </c>
      <c r="B180" s="296">
        <v>20</v>
      </c>
      <c r="C180" s="297"/>
    </row>
    <row r="181" spans="1:3">
      <c r="A181" s="295"/>
      <c r="B181" s="296"/>
      <c r="C181" s="297"/>
    </row>
    <row r="182" spans="1:3">
      <c r="A182" s="295" t="s">
        <v>83</v>
      </c>
      <c r="B182" s="296">
        <v>1</v>
      </c>
      <c r="C182" s="297"/>
    </row>
    <row r="183" spans="1:3">
      <c r="A183" s="295"/>
      <c r="B183" s="296"/>
      <c r="C183" s="297"/>
    </row>
    <row r="184" spans="1:3">
      <c r="A184" s="295" t="s">
        <v>84</v>
      </c>
      <c r="B184" s="296" t="s">
        <v>133</v>
      </c>
      <c r="C184" s="297"/>
    </row>
    <row r="185" spans="1:3">
      <c r="A185" s="295"/>
      <c r="B185" s="296"/>
      <c r="C185" s="297"/>
    </row>
    <row r="186" spans="1:3">
      <c r="A186" s="295" t="s">
        <v>85</v>
      </c>
      <c r="B186" s="296"/>
      <c r="C186" s="297"/>
    </row>
    <row r="187" spans="1:3">
      <c r="A187" s="295" t="s">
        <v>99</v>
      </c>
      <c r="B187" s="296">
        <v>1</v>
      </c>
      <c r="C187" s="297"/>
    </row>
    <row r="188" spans="1:3">
      <c r="A188" s="295"/>
      <c r="B188" s="296"/>
      <c r="C188" s="297"/>
    </row>
    <row r="189" spans="1:3">
      <c r="A189" s="295" t="s">
        <v>100</v>
      </c>
      <c r="B189" s="296">
        <v>1</v>
      </c>
      <c r="C189" s="297"/>
    </row>
    <row r="190" spans="1:3">
      <c r="A190" s="295"/>
      <c r="B190" s="296"/>
      <c r="C190" s="297"/>
    </row>
    <row r="191" spans="1:3">
      <c r="A191" s="295" t="s">
        <v>101</v>
      </c>
      <c r="B191" s="296">
        <v>1</v>
      </c>
      <c r="C191" s="297"/>
    </row>
    <row r="192" spans="1:3">
      <c r="A192" s="295"/>
      <c r="B192" s="296"/>
      <c r="C192" s="297"/>
    </row>
    <row r="193" spans="1:19">
      <c r="A193" s="295" t="s">
        <v>102</v>
      </c>
      <c r="B193" s="296">
        <v>1</v>
      </c>
      <c r="C193" s="297"/>
    </row>
    <row r="194" spans="1:19">
      <c r="A194" s="295"/>
      <c r="B194" s="296"/>
      <c r="C194" s="297"/>
    </row>
    <row r="195" spans="1:19">
      <c r="A195" s="295" t="s">
        <v>103</v>
      </c>
      <c r="B195" s="296">
        <v>1</v>
      </c>
      <c r="C195" s="297"/>
    </row>
    <row r="196" spans="1:19">
      <c r="A196" s="295"/>
      <c r="B196" s="296"/>
      <c r="C196" s="297"/>
    </row>
    <row r="197" spans="1:19">
      <c r="A197" s="295" t="s">
        <v>104</v>
      </c>
      <c r="B197" s="296">
        <v>1</v>
      </c>
      <c r="C197" s="297"/>
    </row>
    <row r="198" spans="1:19">
      <c r="A198" s="295"/>
      <c r="B198" s="296"/>
      <c r="C198" s="297"/>
    </row>
    <row r="199" spans="1:19">
      <c r="A199" s="295" t="s">
        <v>105</v>
      </c>
      <c r="B199" s="296">
        <v>1</v>
      </c>
      <c r="C199" s="297"/>
    </row>
    <row r="200" spans="1:19">
      <c r="A200" s="295"/>
      <c r="B200" s="296"/>
      <c r="C200" s="296"/>
      <c r="D200" s="299"/>
      <c r="E200" s="299"/>
      <c r="F200" s="299"/>
      <c r="G200" s="299"/>
      <c r="H200" s="299"/>
      <c r="I200" s="299"/>
      <c r="J200" s="299"/>
      <c r="K200" s="299"/>
      <c r="L200" s="299"/>
      <c r="N200" s="299"/>
      <c r="P200" s="299"/>
      <c r="Q200" s="299"/>
      <c r="R200" s="299"/>
      <c r="S200" s="299"/>
    </row>
    <row r="201" spans="1:19">
      <c r="A201" s="295" t="s">
        <v>106</v>
      </c>
      <c r="B201" s="296">
        <v>1</v>
      </c>
      <c r="C201" s="297"/>
    </row>
    <row r="202" spans="1:19">
      <c r="A202" s="295"/>
      <c r="B202" s="296"/>
      <c r="C202" s="297"/>
    </row>
    <row r="203" spans="1:19">
      <c r="A203" s="295" t="s">
        <v>107</v>
      </c>
      <c r="B203" s="296">
        <v>1</v>
      </c>
      <c r="C203" s="297"/>
    </row>
    <row r="204" spans="1:19">
      <c r="A204" s="295"/>
      <c r="B204" s="296"/>
      <c r="C204" s="297"/>
    </row>
    <row r="205" spans="1:19">
      <c r="A205" s="295" t="s">
        <v>108</v>
      </c>
      <c r="B205" s="296" t="s">
        <v>133</v>
      </c>
      <c r="C205" s="297"/>
    </row>
    <row r="206" spans="1:19">
      <c r="A206" s="295"/>
      <c r="B206" s="296"/>
      <c r="C206" s="297"/>
    </row>
    <row r="207" spans="1:19">
      <c r="A207" s="295" t="s">
        <v>109</v>
      </c>
      <c r="B207" s="296">
        <v>1</v>
      </c>
      <c r="C207" s="297"/>
    </row>
    <row r="208" spans="1:19">
      <c r="A208" s="295"/>
      <c r="B208" s="296"/>
      <c r="C208" s="297"/>
    </row>
    <row r="209" spans="1:3">
      <c r="A209" s="295" t="s">
        <v>110</v>
      </c>
      <c r="B209" s="296">
        <v>1</v>
      </c>
      <c r="C209" s="297"/>
    </row>
    <row r="210" spans="1:3">
      <c r="A210" s="295"/>
      <c r="B210" s="296"/>
      <c r="C210" s="297"/>
    </row>
    <row r="211" spans="1:3">
      <c r="A211" s="295" t="s">
        <v>91</v>
      </c>
      <c r="B211" s="296">
        <v>1</v>
      </c>
      <c r="C211" s="297"/>
    </row>
    <row r="212" spans="1:3">
      <c r="A212" s="295"/>
      <c r="B212" s="296"/>
      <c r="C212" s="297"/>
    </row>
    <row r="213" spans="1:3">
      <c r="A213" s="295" t="s">
        <v>92</v>
      </c>
      <c r="B213" s="296">
        <v>1</v>
      </c>
      <c r="C213" s="297"/>
    </row>
    <row r="214" spans="1:3">
      <c r="A214" s="295"/>
      <c r="B214" s="296"/>
      <c r="C214" s="297"/>
    </row>
    <row r="215" spans="1:3">
      <c r="A215" s="295" t="s">
        <v>93</v>
      </c>
      <c r="B215" s="296">
        <v>1</v>
      </c>
      <c r="C215" s="297"/>
    </row>
    <row r="216" spans="1:3">
      <c r="A216" s="295"/>
      <c r="B216" s="296"/>
      <c r="C216" s="297"/>
    </row>
    <row r="217" spans="1:3">
      <c r="A217" s="295" t="s">
        <v>94</v>
      </c>
      <c r="B217" s="296">
        <v>1</v>
      </c>
      <c r="C217" s="297"/>
    </row>
    <row r="218" spans="1:3">
      <c r="A218" s="295"/>
      <c r="B218" s="296"/>
      <c r="C218" s="297"/>
    </row>
    <row r="219" spans="1:3">
      <c r="A219" s="295" t="s">
        <v>95</v>
      </c>
      <c r="B219" s="296">
        <v>1</v>
      </c>
      <c r="C219" s="297"/>
    </row>
    <row r="220" spans="1:3">
      <c r="A220" s="295"/>
      <c r="B220" s="296"/>
      <c r="C220" s="297"/>
    </row>
    <row r="221" spans="1:3">
      <c r="A221" s="295" t="s">
        <v>98</v>
      </c>
      <c r="B221" s="296">
        <v>1</v>
      </c>
      <c r="C221" s="297"/>
    </row>
    <row r="222" spans="1:3">
      <c r="A222" s="295"/>
      <c r="B222" s="296"/>
      <c r="C222" s="297"/>
    </row>
    <row r="223" spans="1:3">
      <c r="A223" s="295" t="s">
        <v>96</v>
      </c>
      <c r="B223" s="296">
        <v>1</v>
      </c>
      <c r="C223" s="297"/>
    </row>
    <row r="224" spans="1:3">
      <c r="A224" s="295"/>
      <c r="B224" s="296"/>
      <c r="C224" s="297"/>
    </row>
    <row r="225" spans="1:3">
      <c r="A225" s="295" t="s">
        <v>97</v>
      </c>
      <c r="B225" s="296">
        <v>1</v>
      </c>
      <c r="C225" s="297"/>
    </row>
    <row r="226" spans="1:3">
      <c r="A226" s="295"/>
      <c r="B226" s="296"/>
      <c r="C226" s="297"/>
    </row>
    <row r="227" spans="1:3">
      <c r="A227" s="295" t="s">
        <v>111</v>
      </c>
      <c r="B227" s="296">
        <v>1</v>
      </c>
      <c r="C227" s="297"/>
    </row>
    <row r="228" spans="1:3">
      <c r="A228" s="295"/>
      <c r="B228" s="296"/>
      <c r="C228" s="297"/>
    </row>
    <row r="229" spans="1:3">
      <c r="A229" s="295" t="s">
        <v>112</v>
      </c>
      <c r="B229" s="296">
        <v>1</v>
      </c>
      <c r="C229" s="297"/>
    </row>
    <row r="230" spans="1:3">
      <c r="A230" s="295"/>
      <c r="B230" s="296"/>
      <c r="C230" s="297"/>
    </row>
    <row r="231" spans="1:3">
      <c r="A231" s="295" t="s">
        <v>150</v>
      </c>
      <c r="B231" s="296">
        <v>1</v>
      </c>
      <c r="C231" s="297"/>
    </row>
    <row r="232" spans="1:3">
      <c r="A232" s="295"/>
      <c r="B232" s="296"/>
      <c r="C232" s="297"/>
    </row>
    <row r="233" spans="1:3">
      <c r="A233" s="295" t="s">
        <v>151</v>
      </c>
      <c r="B233" s="296">
        <v>1</v>
      </c>
      <c r="C233" s="297"/>
    </row>
    <row r="234" spans="1:3">
      <c r="A234" s="295"/>
      <c r="B234" s="296"/>
      <c r="C234" s="297"/>
    </row>
    <row r="235" spans="1:3">
      <c r="A235" s="295" t="s">
        <v>135</v>
      </c>
      <c r="B235" s="296">
        <v>1</v>
      </c>
      <c r="C235" s="297"/>
    </row>
    <row r="236" spans="1:3">
      <c r="A236" s="295"/>
      <c r="B236" s="296"/>
      <c r="C236" s="297"/>
    </row>
    <row r="237" spans="1:3">
      <c r="A237" s="295" t="s">
        <v>134</v>
      </c>
      <c r="B237" s="296">
        <v>1</v>
      </c>
      <c r="C237" s="297"/>
    </row>
    <row r="238" spans="1:3">
      <c r="A238" s="295"/>
      <c r="B238" s="296"/>
      <c r="C238" s="297"/>
    </row>
    <row r="239" spans="1:3">
      <c r="A239" s="295" t="s">
        <v>136</v>
      </c>
      <c r="B239" s="296">
        <v>1</v>
      </c>
      <c r="C239" s="297"/>
    </row>
    <row r="240" spans="1:3">
      <c r="A240" s="295"/>
      <c r="B240" s="296"/>
      <c r="C240" s="297"/>
    </row>
    <row r="241" spans="1:3">
      <c r="A241" s="295" t="s">
        <v>137</v>
      </c>
      <c r="B241" s="296">
        <v>1</v>
      </c>
      <c r="C241" s="297"/>
    </row>
    <row r="242" spans="1:3">
      <c r="A242" s="295"/>
      <c r="B242" s="296"/>
      <c r="C242" s="297"/>
    </row>
    <row r="243" spans="1:3">
      <c r="A243" s="295" t="s">
        <v>138</v>
      </c>
      <c r="B243" s="296">
        <v>1</v>
      </c>
      <c r="C243" s="297"/>
    </row>
    <row r="244" spans="1:3">
      <c r="A244" s="295"/>
      <c r="B244" s="296"/>
      <c r="C244" s="297"/>
    </row>
    <row r="245" spans="1:3">
      <c r="A245" s="295" t="s">
        <v>139</v>
      </c>
      <c r="B245" s="296">
        <v>1</v>
      </c>
      <c r="C245" s="297"/>
    </row>
    <row r="246" spans="1:3">
      <c r="A246" s="295"/>
      <c r="B246" s="296"/>
      <c r="C246" s="297"/>
    </row>
    <row r="247" spans="1:3">
      <c r="A247" s="295" t="s">
        <v>140</v>
      </c>
      <c r="B247" s="296">
        <v>1</v>
      </c>
      <c r="C247" s="297"/>
    </row>
    <row r="248" spans="1:3">
      <c r="A248" s="295"/>
      <c r="B248" s="296"/>
      <c r="C248" s="297"/>
    </row>
    <row r="249" spans="1:3">
      <c r="A249" s="295" t="s">
        <v>141</v>
      </c>
      <c r="B249" s="296">
        <v>1</v>
      </c>
      <c r="C249" s="297"/>
    </row>
    <row r="250" spans="1:3">
      <c r="A250" s="295"/>
      <c r="B250" s="296"/>
      <c r="C250" s="297"/>
    </row>
    <row r="251" spans="1:3">
      <c r="A251" s="295" t="s">
        <v>142</v>
      </c>
      <c r="B251" s="296">
        <v>1</v>
      </c>
      <c r="C251" s="297"/>
    </row>
    <row r="252" spans="1:3">
      <c r="A252" s="295"/>
      <c r="B252" s="296"/>
      <c r="C252" s="297"/>
    </row>
    <row r="253" spans="1:3">
      <c r="A253" s="295" t="s">
        <v>143</v>
      </c>
      <c r="B253" s="296">
        <v>1</v>
      </c>
      <c r="C253" s="297"/>
    </row>
    <row r="254" spans="1:3">
      <c r="A254" s="295"/>
      <c r="B254" s="296"/>
      <c r="C254" s="297"/>
    </row>
    <row r="255" spans="1:3">
      <c r="A255" s="295" t="s">
        <v>144</v>
      </c>
      <c r="B255" s="296">
        <v>1</v>
      </c>
      <c r="C255" s="297"/>
    </row>
    <row r="256" spans="1:3">
      <c r="A256" s="295"/>
      <c r="B256" s="296"/>
      <c r="C256" s="297"/>
    </row>
    <row r="257" spans="1:3">
      <c r="A257" s="295" t="s">
        <v>145</v>
      </c>
      <c r="B257" s="296">
        <v>1</v>
      </c>
      <c r="C257" s="297"/>
    </row>
    <row r="258" spans="1:3">
      <c r="A258" s="295"/>
      <c r="B258" s="296"/>
      <c r="C258" s="297"/>
    </row>
    <row r="259" spans="1:3">
      <c r="A259" s="295" t="s">
        <v>146</v>
      </c>
      <c r="B259" s="296">
        <v>1</v>
      </c>
      <c r="C259" s="297"/>
    </row>
    <row r="260" spans="1:3">
      <c r="A260" s="295"/>
      <c r="B260" s="296"/>
      <c r="C260" s="297"/>
    </row>
    <row r="261" spans="1:3">
      <c r="A261" s="295" t="s">
        <v>147</v>
      </c>
      <c r="B261" s="296">
        <v>1</v>
      </c>
      <c r="C261" s="297"/>
    </row>
    <row r="262" spans="1:3">
      <c r="A262" s="295"/>
      <c r="B262" s="296"/>
      <c r="C262" s="297"/>
    </row>
    <row r="263" spans="1:3">
      <c r="A263" s="295" t="s">
        <v>148</v>
      </c>
      <c r="B263" s="296">
        <v>1</v>
      </c>
      <c r="C263" s="297"/>
    </row>
    <row r="264" spans="1:3">
      <c r="A264" s="295"/>
      <c r="B264" s="296"/>
      <c r="C264" s="297"/>
    </row>
    <row r="265" spans="1:3">
      <c r="A265" s="295" t="s">
        <v>149</v>
      </c>
      <c r="B265" s="296">
        <v>1</v>
      </c>
      <c r="C265" s="297"/>
    </row>
    <row r="266" spans="1:3">
      <c r="A266" s="295"/>
      <c r="B266" s="296"/>
      <c r="C266" s="297"/>
    </row>
    <row r="267" spans="1:3">
      <c r="A267" s="295" t="s">
        <v>113</v>
      </c>
      <c r="B267" s="296"/>
      <c r="C267" s="297"/>
    </row>
    <row r="268" spans="1:3">
      <c r="A268" s="295" t="s">
        <v>114</v>
      </c>
      <c r="B268" s="296" t="s">
        <v>133</v>
      </c>
      <c r="C268" s="297"/>
    </row>
    <row r="269" spans="1:3">
      <c r="A269" s="295"/>
      <c r="B269" s="296"/>
      <c r="C269" s="297"/>
    </row>
    <row r="270" spans="1:3">
      <c r="A270" s="295" t="s">
        <v>115</v>
      </c>
      <c r="B270" s="296" t="s">
        <v>152</v>
      </c>
      <c r="C270" s="297"/>
    </row>
    <row r="271" spans="1:3">
      <c r="A271" s="295"/>
      <c r="B271" s="296"/>
      <c r="C271" s="297"/>
    </row>
    <row r="272" spans="1:3">
      <c r="A272" s="295" t="s">
        <v>116</v>
      </c>
      <c r="B272" s="296" t="s">
        <v>152</v>
      </c>
      <c r="C272" s="297"/>
    </row>
    <row r="273" spans="1:3">
      <c r="A273" s="295"/>
      <c r="B273" s="296"/>
      <c r="C273" s="297"/>
    </row>
    <row r="274" spans="1:3">
      <c r="A274" s="295" t="s">
        <v>117</v>
      </c>
      <c r="B274" s="296" t="s">
        <v>133</v>
      </c>
      <c r="C274" s="297"/>
    </row>
    <row r="275" spans="1:3">
      <c r="A275" s="295"/>
      <c r="B275" s="296"/>
      <c r="C275" s="297"/>
    </row>
    <row r="276" spans="1:3">
      <c r="A276" s="295" t="s">
        <v>118</v>
      </c>
      <c r="B276" s="296" t="s">
        <v>152</v>
      </c>
      <c r="C276" s="297"/>
    </row>
    <row r="277" spans="1:3">
      <c r="A277" s="295"/>
      <c r="B277" s="296"/>
      <c r="C277" s="297"/>
    </row>
    <row r="278" spans="1:3">
      <c r="A278" s="295" t="s">
        <v>119</v>
      </c>
      <c r="B278" s="296" t="s">
        <v>133</v>
      </c>
      <c r="C278" s="297"/>
    </row>
    <row r="279" spans="1:3">
      <c r="A279" s="295"/>
      <c r="B279" s="296"/>
      <c r="C279" s="297"/>
    </row>
    <row r="280" spans="1:3">
      <c r="A280" s="295" t="s">
        <v>120</v>
      </c>
      <c r="B280" s="296" t="s">
        <v>152</v>
      </c>
      <c r="C280" s="297"/>
    </row>
    <row r="281" spans="1:3">
      <c r="A281" s="295"/>
      <c r="B281" s="296"/>
      <c r="C281" s="297"/>
    </row>
    <row r="282" spans="1:3">
      <c r="A282" s="295" t="s">
        <v>121</v>
      </c>
      <c r="B282" s="296">
        <v>1</v>
      </c>
      <c r="C282" s="297"/>
    </row>
    <row r="283" spans="1:3">
      <c r="A283" s="295"/>
      <c r="B283" s="296"/>
      <c r="C283" s="297"/>
    </row>
    <row r="284" spans="1:3">
      <c r="A284" s="295" t="s">
        <v>122</v>
      </c>
      <c r="B284" s="296">
        <v>1</v>
      </c>
      <c r="C284" s="297"/>
    </row>
    <row r="285" spans="1:3">
      <c r="A285" s="295"/>
      <c r="B285" s="296"/>
      <c r="C285" s="297"/>
    </row>
    <row r="286" spans="1:3">
      <c r="A286" s="295" t="s">
        <v>123</v>
      </c>
      <c r="B286" s="296">
        <v>1</v>
      </c>
      <c r="C286" s="297"/>
    </row>
    <row r="287" spans="1:3">
      <c r="A287" s="295"/>
      <c r="B287" s="296"/>
      <c r="C287" s="297"/>
    </row>
    <row r="288" spans="1:3">
      <c r="A288" s="295" t="s">
        <v>124</v>
      </c>
      <c r="B288" s="296" t="s">
        <v>152</v>
      </c>
      <c r="C288" s="297"/>
    </row>
    <row r="289" spans="1:3">
      <c r="A289" s="295"/>
      <c r="B289" s="296"/>
      <c r="C289" s="297"/>
    </row>
    <row r="290" spans="1:3">
      <c r="A290" s="295" t="s">
        <v>125</v>
      </c>
      <c r="B290" s="296" t="s">
        <v>152</v>
      </c>
      <c r="C290" s="297"/>
    </row>
    <row r="291" spans="1:3">
      <c r="A291" s="295"/>
      <c r="B291" s="296"/>
      <c r="C291" s="297"/>
    </row>
    <row r="292" spans="1:3">
      <c r="A292" s="295" t="s">
        <v>126</v>
      </c>
      <c r="B292" s="296">
        <v>1</v>
      </c>
      <c r="C292" s="297"/>
    </row>
    <row r="293" spans="1:3">
      <c r="A293" s="295"/>
      <c r="B293" s="296"/>
      <c r="C293" s="297"/>
    </row>
    <row r="294" spans="1:3">
      <c r="A294" s="295" t="s">
        <v>127</v>
      </c>
      <c r="B294" s="296">
        <v>1</v>
      </c>
      <c r="C294" s="297"/>
    </row>
    <row r="295" spans="1:3">
      <c r="A295" s="295"/>
      <c r="B295" s="296"/>
      <c r="C295" s="297"/>
    </row>
    <row r="296" spans="1:3">
      <c r="A296" s="295" t="s">
        <v>128</v>
      </c>
      <c r="B296" s="296" t="s">
        <v>152</v>
      </c>
      <c r="C296" s="297"/>
    </row>
    <row r="297" spans="1:3">
      <c r="A297" s="295"/>
      <c r="B297" s="296"/>
      <c r="C297" s="297"/>
    </row>
    <row r="298" spans="1:3">
      <c r="A298" s="295" t="s">
        <v>153</v>
      </c>
      <c r="B298" s="296" t="s">
        <v>152</v>
      </c>
      <c r="C298" s="297"/>
    </row>
    <row r="299" spans="1:3">
      <c r="A299" s="295"/>
      <c r="B299" s="296"/>
      <c r="C299" s="297"/>
    </row>
    <row r="300" spans="1:3">
      <c r="A300" s="295" t="s">
        <v>129</v>
      </c>
      <c r="B300" s="296"/>
      <c r="C300" s="297"/>
    </row>
    <row r="301" spans="1:3">
      <c r="A301" s="295" t="s">
        <v>86</v>
      </c>
      <c r="B301" s="296">
        <v>1</v>
      </c>
      <c r="C301" s="297"/>
    </row>
    <row r="302" spans="1:3">
      <c r="A302" s="295"/>
      <c r="B302" s="296"/>
      <c r="C302" s="297"/>
    </row>
    <row r="303" spans="1:3">
      <c r="A303" s="295" t="s">
        <v>87</v>
      </c>
      <c r="B303" s="296">
        <v>1</v>
      </c>
      <c r="C303" s="297"/>
    </row>
    <row r="304" spans="1:3">
      <c r="A304" s="295"/>
      <c r="B304" s="296"/>
      <c r="C304" s="297"/>
    </row>
    <row r="305" spans="1:3">
      <c r="A305" s="295" t="s">
        <v>88</v>
      </c>
      <c r="B305" s="296">
        <v>1</v>
      </c>
      <c r="C305" s="297"/>
    </row>
    <row r="306" spans="1:3">
      <c r="A306" s="295"/>
      <c r="B306" s="296"/>
      <c r="C306" s="297"/>
    </row>
    <row r="307" spans="1:3">
      <c r="A307" s="295" t="s">
        <v>89</v>
      </c>
      <c r="B307" s="296">
        <v>1</v>
      </c>
      <c r="C307" s="297"/>
    </row>
    <row r="308" spans="1:3">
      <c r="A308" s="295"/>
      <c r="B308" s="296"/>
      <c r="C308" s="297"/>
    </row>
    <row r="309" spans="1:3">
      <c r="A309" s="295" t="s">
        <v>90</v>
      </c>
      <c r="B309" s="296">
        <v>1</v>
      </c>
      <c r="C309" s="297"/>
    </row>
    <row r="310" spans="1:3">
      <c r="A310" s="295"/>
      <c r="B310" s="296"/>
      <c r="C310" s="297"/>
    </row>
    <row r="311" spans="1:3">
      <c r="A311" s="295" t="s">
        <v>154</v>
      </c>
      <c r="B311" s="296">
        <v>1</v>
      </c>
      <c r="C311" s="297"/>
    </row>
    <row r="312" spans="1:3">
      <c r="A312" s="295"/>
      <c r="B312" s="296"/>
      <c r="C312" s="297"/>
    </row>
    <row r="313" spans="1:3">
      <c r="A313" s="295" t="s">
        <v>155</v>
      </c>
      <c r="B313" s="296">
        <v>1</v>
      </c>
      <c r="C313" s="297"/>
    </row>
    <row r="314" spans="1:3">
      <c r="A314" s="295"/>
      <c r="B314" s="296"/>
      <c r="C314" s="297"/>
    </row>
    <row r="315" spans="1:3">
      <c r="A315" s="295" t="s">
        <v>252</v>
      </c>
      <c r="B315" s="296">
        <v>1</v>
      </c>
      <c r="C315" s="297"/>
    </row>
    <row r="316" spans="1:3">
      <c r="A316" s="295"/>
      <c r="B316" s="296"/>
      <c r="C316" s="297"/>
    </row>
    <row r="317" spans="1:3">
      <c r="A317" s="295"/>
      <c r="B317" s="296"/>
      <c r="C317" s="297"/>
    </row>
    <row r="318" spans="1:3">
      <c r="A318" s="295"/>
      <c r="B318" s="296"/>
      <c r="C318" s="297"/>
    </row>
    <row r="319" spans="1:3">
      <c r="A319" s="295" t="s">
        <v>88</v>
      </c>
      <c r="B319" s="296">
        <v>1</v>
      </c>
      <c r="C319" s="297"/>
    </row>
    <row r="320" spans="1:3">
      <c r="A320" s="295"/>
      <c r="B320" s="296"/>
      <c r="C320" s="297"/>
    </row>
    <row r="321" spans="1:3">
      <c r="A321" s="295" t="s">
        <v>89</v>
      </c>
      <c r="B321" s="296">
        <v>1</v>
      </c>
      <c r="C321" s="297"/>
    </row>
    <row r="322" spans="1:3">
      <c r="A322" s="295"/>
      <c r="B322" s="296"/>
      <c r="C322" s="297"/>
    </row>
    <row r="323" spans="1:3">
      <c r="A323" s="295" t="s">
        <v>90</v>
      </c>
      <c r="B323" s="296">
        <v>1</v>
      </c>
      <c r="C323" s="297"/>
    </row>
    <row r="324" spans="1:3">
      <c r="A324" s="295"/>
      <c r="B324" s="296"/>
      <c r="C324" s="297"/>
    </row>
    <row r="325" spans="1:3">
      <c r="A325" s="295" t="s">
        <v>154</v>
      </c>
      <c r="B325" s="296">
        <v>1</v>
      </c>
      <c r="C325" s="297"/>
    </row>
    <row r="326" spans="1:3">
      <c r="A326" s="295"/>
      <c r="B326" s="296"/>
      <c r="C326" s="297"/>
    </row>
    <row r="327" spans="1:3">
      <c r="A327" s="295" t="s">
        <v>155</v>
      </c>
      <c r="B327" s="296">
        <v>1</v>
      </c>
      <c r="C327" s="297"/>
    </row>
    <row r="508" spans="19:19">
      <c r="S508" s="275"/>
    </row>
  </sheetData>
  <sheetProtection sheet="1" objects="1" scenarios="1"/>
  <mergeCells count="1">
    <mergeCell ref="M1:O1"/>
  </mergeCells>
  <phoneticPr fontId="0" type="noConversion"/>
  <printOptions gridLines="1" gridLinesSet="0"/>
  <pageMargins left="0.2" right="0.22" top="0.81" bottom="1" header="0.5" footer="0.5"/>
  <pageSetup scale="55" orientation="landscape" horizontalDpi="4294967292" verticalDpi="4294967292" r:id="rId1"/>
  <headerFooter alignWithMargins="0">
    <oddHeader>&amp;F</oddHeader>
    <oddFooter>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2:P37"/>
  <sheetViews>
    <sheetView workbookViewId="0">
      <selection activeCell="C3" sqref="C3"/>
    </sheetView>
  </sheetViews>
  <sheetFormatPr defaultColWidth="9.109375" defaultRowHeight="15" customHeight="1"/>
  <cols>
    <col min="1" max="1" width="9.109375" style="154"/>
    <col min="2" max="2" width="27.109375" style="154" customWidth="1"/>
    <col min="3" max="3" width="13.5546875" style="154" customWidth="1"/>
    <col min="4" max="6" width="9.109375" style="154"/>
    <col min="7" max="7" width="11.6640625" style="154" customWidth="1"/>
    <col min="8" max="8" width="9.88671875" style="154" customWidth="1"/>
    <col min="9" max="14" width="9.109375" style="154"/>
    <col min="15" max="15" width="20" style="154" customWidth="1"/>
    <col min="16" max="16" width="9.109375" style="154"/>
    <col min="17" max="17" width="17.33203125" style="154" bestFit="1" customWidth="1"/>
    <col min="18" max="16384" width="9.109375" style="154"/>
  </cols>
  <sheetData>
    <row r="2" spans="2:16" ht="15" customHeight="1">
      <c r="B2" s="153" t="s">
        <v>164</v>
      </c>
      <c r="E2" s="155" t="s">
        <v>163</v>
      </c>
    </row>
    <row r="3" spans="2:16" ht="15" customHeight="1">
      <c r="B3" s="156" t="s">
        <v>277</v>
      </c>
      <c r="C3" s="157" t="s">
        <v>428</v>
      </c>
      <c r="E3" s="154" t="s">
        <v>172</v>
      </c>
      <c r="O3" s="154" t="s">
        <v>202</v>
      </c>
    </row>
    <row r="4" spans="2:16" ht="15" customHeight="1">
      <c r="B4" s="156" t="s">
        <v>165</v>
      </c>
      <c r="C4" s="157" t="s">
        <v>429</v>
      </c>
      <c r="E4" s="158" t="b">
        <v>1</v>
      </c>
      <c r="F4" s="326" t="s">
        <v>344</v>
      </c>
      <c r="G4" s="326"/>
      <c r="H4" s="326"/>
      <c r="I4" s="326"/>
      <c r="J4" s="326"/>
      <c r="K4" s="326"/>
      <c r="L4" s="326"/>
      <c r="M4" s="326"/>
      <c r="O4" s="159">
        <v>-0.88585499999999995</v>
      </c>
      <c r="P4" s="160"/>
    </row>
    <row r="5" spans="2:16" ht="15" customHeight="1">
      <c r="B5" s="161" t="s">
        <v>24</v>
      </c>
      <c r="C5" s="162">
        <v>8.410648736508439E-3</v>
      </c>
      <c r="E5" s="158" t="b">
        <v>0</v>
      </c>
      <c r="F5" s="326" t="s">
        <v>345</v>
      </c>
      <c r="G5" s="326"/>
      <c r="H5" s="326"/>
      <c r="I5" s="326"/>
      <c r="J5" s="326"/>
      <c r="K5" s="326"/>
      <c r="L5" s="326"/>
      <c r="M5" s="326"/>
      <c r="O5" s="159">
        <v>-0.88593900000000003</v>
      </c>
      <c r="P5" s="160"/>
    </row>
    <row r="6" spans="2:16" ht="15" customHeight="1">
      <c r="B6" s="161" t="s">
        <v>166</v>
      </c>
      <c r="C6" s="163">
        <v>1.9858419147887778E-4</v>
      </c>
      <c r="E6" s="158" t="b">
        <v>0</v>
      </c>
      <c r="F6" s="326" t="s">
        <v>346</v>
      </c>
      <c r="G6" s="326"/>
      <c r="H6" s="326"/>
      <c r="I6" s="326"/>
      <c r="J6" s="326"/>
      <c r="K6" s="326"/>
      <c r="L6" s="326"/>
      <c r="M6" s="326"/>
      <c r="O6" s="159">
        <v>-0.88585199999999997</v>
      </c>
      <c r="P6" s="160"/>
    </row>
    <row r="7" spans="2:16" ht="15" customHeight="1">
      <c r="B7" s="164" t="s">
        <v>167</v>
      </c>
      <c r="C7" s="163">
        <v>2.7686690947341129E-2</v>
      </c>
      <c r="E7" s="165" t="b">
        <v>1</v>
      </c>
      <c r="F7" s="327" t="s">
        <v>245</v>
      </c>
      <c r="G7" s="327"/>
      <c r="H7" s="327"/>
      <c r="I7" s="327"/>
      <c r="J7" s="327"/>
      <c r="K7" s="327"/>
      <c r="L7" s="327"/>
      <c r="M7" s="327"/>
      <c r="O7" s="159">
        <v>-0.88580999999999999</v>
      </c>
      <c r="P7" s="160"/>
    </row>
    <row r="8" spans="2:16" ht="15" customHeight="1">
      <c r="B8" s="156" t="s">
        <v>276</v>
      </c>
      <c r="C8" s="163">
        <v>-7.1842079577000284E-5</v>
      </c>
      <c r="E8" s="166"/>
      <c r="F8" s="328"/>
      <c r="G8" s="328"/>
      <c r="H8" s="328"/>
      <c r="I8" s="328"/>
      <c r="J8" s="328"/>
      <c r="K8" s="328"/>
      <c r="L8" s="328"/>
      <c r="M8" s="328"/>
      <c r="O8" s="159">
        <v>-0.88571800000000001</v>
      </c>
      <c r="P8" s="160"/>
    </row>
    <row r="9" spans="2:16" ht="15" customHeight="1">
      <c r="B9" s="156" t="s">
        <v>168</v>
      </c>
      <c r="C9" s="167">
        <f>Air_Voltage-C8</f>
        <v>-0.88567745792042296</v>
      </c>
      <c r="D9" s="168"/>
      <c r="E9" s="169"/>
      <c r="O9" s="159">
        <v>-0.88576600000000005</v>
      </c>
      <c r="P9" s="160"/>
    </row>
    <row r="10" spans="2:16" ht="15" customHeight="1">
      <c r="B10" s="156" t="s">
        <v>201</v>
      </c>
      <c r="C10" s="167">
        <f>AVERAGE(O4:O13)</f>
        <v>-0.88574929999999996</v>
      </c>
      <c r="E10" s="153" t="s">
        <v>200</v>
      </c>
      <c r="O10" s="159">
        <v>-0.88557900000000001</v>
      </c>
      <c r="P10" s="160"/>
    </row>
    <row r="11" spans="2:16" ht="15" customHeight="1">
      <c r="E11" s="158" t="b">
        <v>1</v>
      </c>
      <c r="F11" s="325" t="s">
        <v>264</v>
      </c>
      <c r="G11" s="325"/>
      <c r="H11" s="325"/>
      <c r="I11" s="325"/>
      <c r="J11" s="325"/>
      <c r="K11" s="325"/>
      <c r="L11" s="325"/>
      <c r="M11" s="325"/>
      <c r="O11" s="159">
        <v>-0.88557399999999997</v>
      </c>
      <c r="P11" s="160"/>
    </row>
    <row r="12" spans="2:16" ht="15" customHeight="1">
      <c r="B12" s="153" t="s">
        <v>360</v>
      </c>
      <c r="E12" s="169" t="str">
        <f>IF(OR(E7,E11),"","Warning no data will be saved after a measurement!!! Neither to summary or as a full sheet")</f>
        <v/>
      </c>
      <c r="O12" s="159">
        <v>-0.88569600000000004</v>
      </c>
      <c r="P12" s="160"/>
    </row>
    <row r="13" spans="2:16" ht="15" customHeight="1">
      <c r="B13" s="161" t="s">
        <v>170</v>
      </c>
      <c r="C13" s="162">
        <v>1.6600000000000001E-30</v>
      </c>
      <c r="E13" s="170" t="s">
        <v>248</v>
      </c>
      <c r="F13" s="171"/>
      <c r="G13" s="171"/>
      <c r="H13" s="171"/>
      <c r="I13" s="171"/>
      <c r="J13" s="171"/>
      <c r="K13" s="171"/>
      <c r="L13" s="171"/>
      <c r="M13" s="171"/>
      <c r="O13" s="159">
        <v>-0.88570400000000005</v>
      </c>
      <c r="P13" s="160"/>
    </row>
    <row r="14" spans="2:16" ht="15" customHeight="1">
      <c r="B14" s="172" t="s">
        <v>173</v>
      </c>
      <c r="C14" s="157" t="s">
        <v>49</v>
      </c>
      <c r="E14" s="173" t="b">
        <v>1</v>
      </c>
      <c r="F14" s="329" t="s">
        <v>247</v>
      </c>
      <c r="G14" s="329"/>
      <c r="H14" s="329"/>
      <c r="I14" s="329"/>
      <c r="J14" s="329"/>
      <c r="K14" s="329"/>
      <c r="L14" s="329"/>
      <c r="M14" s="329"/>
      <c r="O14" s="154" t="s">
        <v>273</v>
      </c>
    </row>
    <row r="15" spans="2:16" ht="15" customHeight="1">
      <c r="B15" s="161" t="s">
        <v>169</v>
      </c>
      <c r="C15" s="157">
        <v>1</v>
      </c>
      <c r="E15" s="174"/>
      <c r="F15" s="175"/>
      <c r="G15" s="175"/>
      <c r="H15" s="175"/>
      <c r="I15" s="175"/>
      <c r="J15" s="175"/>
      <c r="K15" s="175"/>
      <c r="L15" s="175"/>
      <c r="M15" s="175"/>
      <c r="O15" s="176">
        <f>STDEV(O4:O13)</f>
        <v>1.1891831930643027E-4</v>
      </c>
    </row>
    <row r="16" spans="2:16" ht="15" customHeight="1">
      <c r="B16" s="161" t="s">
        <v>2</v>
      </c>
      <c r="C16" s="177">
        <v>0.3</v>
      </c>
      <c r="E16" s="170" t="s">
        <v>249</v>
      </c>
      <c r="F16" s="178"/>
      <c r="G16" s="178"/>
      <c r="H16" s="178"/>
      <c r="I16" s="178"/>
      <c r="J16" s="178"/>
      <c r="K16" s="178"/>
      <c r="L16" s="178"/>
      <c r="M16" s="178"/>
      <c r="O16" s="154" t="s">
        <v>268</v>
      </c>
    </row>
    <row r="17" spans="2:15" ht="15" customHeight="1">
      <c r="B17" s="161" t="s">
        <v>354</v>
      </c>
      <c r="C17" s="179" t="s">
        <v>356</v>
      </c>
      <c r="E17" s="158" t="b">
        <v>1</v>
      </c>
      <c r="F17" s="325" t="s">
        <v>250</v>
      </c>
      <c r="G17" s="325"/>
      <c r="H17" s="325"/>
      <c r="I17" s="325"/>
      <c r="J17" s="325"/>
      <c r="K17" s="325"/>
      <c r="L17" s="325"/>
      <c r="M17" s="325"/>
      <c r="O17" s="180">
        <v>44749.640694444446</v>
      </c>
    </row>
    <row r="18" spans="2:15" ht="15" customHeight="1">
      <c r="B18" s="161" t="s">
        <v>355</v>
      </c>
      <c r="C18" s="161" t="str">
        <f>IF(AugerModel="Richter", "ON", "OFF")</f>
        <v>OFF</v>
      </c>
      <c r="O18" s="181"/>
    </row>
    <row r="19" spans="2:15" ht="15" customHeight="1">
      <c r="B19" s="182" t="s">
        <v>394</v>
      </c>
      <c r="E19" s="153" t="s">
        <v>243</v>
      </c>
    </row>
    <row r="20" spans="2:15" ht="15" customHeight="1">
      <c r="E20" s="157">
        <v>3</v>
      </c>
      <c r="F20" s="323" t="s">
        <v>242</v>
      </c>
      <c r="G20" s="323"/>
      <c r="H20" s="323"/>
      <c r="I20" s="323"/>
      <c r="J20" s="323"/>
      <c r="K20" s="323"/>
      <c r="L20" s="323"/>
      <c r="M20" s="324"/>
    </row>
    <row r="21" spans="2:15" ht="15" customHeight="1">
      <c r="B21" s="153" t="s">
        <v>194</v>
      </c>
      <c r="E21" s="157">
        <f>6</f>
        <v>6</v>
      </c>
      <c r="F21" s="325" t="s">
        <v>365</v>
      </c>
      <c r="G21" s="325"/>
      <c r="H21" s="325"/>
      <c r="I21" s="325"/>
      <c r="J21" s="325"/>
      <c r="K21" s="325"/>
      <c r="L21" s="325"/>
      <c r="M21" s="325"/>
    </row>
    <row r="22" spans="2:15" ht="15" customHeight="1">
      <c r="B22" s="183" t="s">
        <v>195</v>
      </c>
      <c r="C22" s="156" t="b">
        <v>0</v>
      </c>
      <c r="E22" s="184">
        <v>0.3</v>
      </c>
      <c r="F22" s="327" t="s">
        <v>364</v>
      </c>
      <c r="G22" s="327"/>
      <c r="H22" s="327"/>
      <c r="I22" s="327"/>
      <c r="J22" s="327"/>
      <c r="K22" s="327"/>
      <c r="L22" s="327"/>
      <c r="M22" s="327"/>
    </row>
    <row r="23" spans="2:15" ht="15" customHeight="1">
      <c r="B23" s="183" t="s">
        <v>196</v>
      </c>
      <c r="C23" s="156">
        <v>1</v>
      </c>
      <c r="E23" s="185"/>
      <c r="F23" s="328"/>
      <c r="G23" s="328"/>
      <c r="H23" s="328"/>
      <c r="I23" s="328"/>
      <c r="J23" s="328"/>
      <c r="K23" s="328"/>
      <c r="L23" s="328"/>
      <c r="M23" s="328"/>
    </row>
    <row r="24" spans="2:15" ht="15" customHeight="1">
      <c r="B24" s="183" t="s">
        <v>197</v>
      </c>
      <c r="C24" s="156">
        <v>20</v>
      </c>
      <c r="E24" s="153" t="s">
        <v>244</v>
      </c>
      <c r="K24" s="169"/>
    </row>
    <row r="25" spans="2:15" ht="15" customHeight="1">
      <c r="B25" s="183" t="s">
        <v>198</v>
      </c>
      <c r="C25" s="156" t="str">
        <f>PassFail(MeasuredLifetimeAuger,MinTauLimit,MaxTauLimit,TF_PassFail)</f>
        <v/>
      </c>
      <c r="E25" s="156">
        <v>1</v>
      </c>
      <c r="F25" s="322" t="s">
        <v>230</v>
      </c>
      <c r="G25" s="323"/>
      <c r="H25" s="323"/>
      <c r="I25" s="323"/>
      <c r="J25" s="323"/>
      <c r="K25" s="323"/>
      <c r="L25" s="323"/>
      <c r="M25" s="324"/>
    </row>
    <row r="27" spans="2:15" ht="15" customHeight="1">
      <c r="E27" s="153" t="s">
        <v>267</v>
      </c>
      <c r="K27" s="169"/>
    </row>
    <row r="28" spans="2:15" ht="15" customHeight="1">
      <c r="E28" s="157">
        <v>12500</v>
      </c>
      <c r="F28" s="321" t="s">
        <v>423</v>
      </c>
      <c r="G28" s="321"/>
      <c r="H28" s="321"/>
      <c r="I28" s="321"/>
      <c r="J28" s="321"/>
      <c r="K28" s="321"/>
      <c r="L28" s="321"/>
      <c r="M28" s="321"/>
    </row>
    <row r="29" spans="2:15" ht="15" customHeight="1">
      <c r="C29" s="186"/>
      <c r="E29" s="157">
        <v>100000</v>
      </c>
      <c r="F29" s="321" t="s">
        <v>265</v>
      </c>
      <c r="G29" s="321"/>
      <c r="H29" s="321"/>
      <c r="I29" s="321"/>
      <c r="J29" s="321"/>
      <c r="K29" s="321"/>
      <c r="L29" s="321"/>
      <c r="M29" s="321"/>
    </row>
    <row r="30" spans="2:15" ht="15" customHeight="1">
      <c r="C30" s="186"/>
      <c r="E30" s="157">
        <v>3</v>
      </c>
      <c r="F30" s="321" t="s">
        <v>266</v>
      </c>
      <c r="G30" s="321"/>
      <c r="H30" s="321"/>
      <c r="I30" s="321"/>
      <c r="J30" s="321"/>
      <c r="K30" s="321"/>
      <c r="L30" s="321"/>
      <c r="M30" s="321"/>
    </row>
    <row r="31" spans="2:15" ht="15" customHeight="1">
      <c r="C31" s="186"/>
      <c r="K31" s="169"/>
    </row>
    <row r="32" spans="2:15" ht="15" customHeight="1">
      <c r="C32" s="186"/>
      <c r="K32" s="169"/>
    </row>
    <row r="33" spans="3:11" ht="15" customHeight="1">
      <c r="C33" s="169"/>
      <c r="K33" s="169"/>
    </row>
    <row r="34" spans="3:11" ht="15" customHeight="1">
      <c r="K34" s="169"/>
    </row>
    <row r="35" spans="3:11" ht="15" customHeight="1">
      <c r="K35" s="169"/>
    </row>
    <row r="37" spans="3:11" ht="15" customHeight="1">
      <c r="F37" s="187"/>
    </row>
  </sheetData>
  <sheetProtection sheet="1" objects="1" scenarios="1" selectLockedCells="1"/>
  <mergeCells count="16">
    <mergeCell ref="F14:M14"/>
    <mergeCell ref="F20:M20"/>
    <mergeCell ref="F21:M21"/>
    <mergeCell ref="F22:M22"/>
    <mergeCell ref="F23:M23"/>
    <mergeCell ref="F11:M11"/>
    <mergeCell ref="F4:M4"/>
    <mergeCell ref="F5:M5"/>
    <mergeCell ref="F6:M6"/>
    <mergeCell ref="F7:M7"/>
    <mergeCell ref="F8:M8"/>
    <mergeCell ref="F28:M28"/>
    <mergeCell ref="F29:M29"/>
    <mergeCell ref="F30:M30"/>
    <mergeCell ref="F25:M25"/>
    <mergeCell ref="F17:M17"/>
  </mergeCells>
  <dataValidations count="3">
    <dataValidation type="list" allowBlank="1" showInputMessage="1" showErrorMessage="1" sqref="C22 E17 E11 E4:E7 E14">
      <formula1>TF_List</formula1>
    </dataValidation>
    <dataValidation type="list" allowBlank="1" showInputMessage="1" showErrorMessage="1" sqref="E25">
      <formula1>VRangeList</formula1>
    </dataValidation>
    <dataValidation type="list" allowBlank="1" showInputMessage="1" showErrorMessage="1" sqref="C17">
      <formula1>AugerModelList</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24"/>
  <sheetViews>
    <sheetView workbookViewId="0">
      <selection activeCell="A2" sqref="A2"/>
    </sheetView>
  </sheetViews>
  <sheetFormatPr defaultColWidth="9.109375" defaultRowHeight="13.8"/>
  <cols>
    <col min="1" max="1" width="9.33203125" style="198" bestFit="1" customWidth="1"/>
    <col min="2" max="2" width="12.109375" style="198" customWidth="1"/>
    <col min="3" max="3" width="12" style="198" customWidth="1"/>
    <col min="4" max="4" width="9.44140625" style="198" bestFit="1" customWidth="1"/>
    <col min="5" max="5" width="11.6640625" style="198" bestFit="1" customWidth="1"/>
    <col min="6" max="6" width="9.44140625" style="198" bestFit="1" customWidth="1"/>
    <col min="7" max="7" width="13.44140625" style="198" customWidth="1"/>
    <col min="8" max="8" width="9.44140625" style="198" bestFit="1" customWidth="1"/>
    <col min="9" max="9" width="11.109375" style="198" customWidth="1"/>
    <col min="10" max="12" width="9.33203125" style="198" bestFit="1" customWidth="1"/>
    <col min="13" max="13" width="10.44140625" style="198" customWidth="1"/>
    <col min="14" max="14" width="11.109375" style="201" customWidth="1"/>
    <col min="15" max="16" width="9.33203125" style="198" bestFit="1" customWidth="1"/>
    <col min="17" max="17" width="9.44140625" style="198" bestFit="1" customWidth="1"/>
    <col min="18" max="19" width="12.33203125" style="198" customWidth="1"/>
    <col min="20" max="20" width="9.44140625" style="198" bestFit="1" customWidth="1"/>
    <col min="21" max="21" width="10.5546875" style="198" customWidth="1"/>
    <col min="22" max="22" width="9.88671875" style="198" bestFit="1" customWidth="1"/>
    <col min="23" max="23" width="12" style="198" customWidth="1"/>
    <col min="24" max="24" width="13.109375" style="198" customWidth="1"/>
    <col min="25" max="16384" width="9.109375" style="198"/>
  </cols>
  <sheetData>
    <row r="1" spans="1:24" s="214" customFormat="1" ht="27" customHeight="1">
      <c r="A1" s="207" t="s">
        <v>14</v>
      </c>
      <c r="B1" s="208" t="s">
        <v>205</v>
      </c>
      <c r="C1" s="209" t="s">
        <v>206</v>
      </c>
      <c r="D1" s="210" t="s">
        <v>199</v>
      </c>
      <c r="E1" s="210" t="s">
        <v>424</v>
      </c>
      <c r="F1" s="210" t="s">
        <v>20</v>
      </c>
      <c r="G1" s="210" t="s">
        <v>207</v>
      </c>
      <c r="H1" s="210" t="s">
        <v>208</v>
      </c>
      <c r="I1" s="210" t="s">
        <v>156</v>
      </c>
      <c r="J1" s="210" t="s">
        <v>209</v>
      </c>
      <c r="K1" s="210" t="s">
        <v>29</v>
      </c>
      <c r="L1" s="210" t="s">
        <v>28</v>
      </c>
      <c r="M1" s="211" t="s">
        <v>0</v>
      </c>
      <c r="N1" s="210" t="s">
        <v>1</v>
      </c>
      <c r="O1" s="210" t="s">
        <v>44</v>
      </c>
      <c r="P1" s="210" t="s">
        <v>43</v>
      </c>
      <c r="Q1" s="211" t="s">
        <v>21</v>
      </c>
      <c r="R1" s="212" t="s">
        <v>274</v>
      </c>
      <c r="S1" s="212" t="s">
        <v>410</v>
      </c>
      <c r="T1" s="210" t="s">
        <v>213</v>
      </c>
      <c r="U1" s="210" t="s">
        <v>210</v>
      </c>
      <c r="V1" s="210" t="s">
        <v>211</v>
      </c>
      <c r="W1" s="210" t="s">
        <v>212</v>
      </c>
      <c r="X1" s="213" t="s">
        <v>222</v>
      </c>
    </row>
    <row r="2" spans="1:24" ht="21.75" customHeight="1">
      <c r="A2" s="188" t="str">
        <f>SampleNameUserSheet</f>
        <v>nSi_AlOx10B_450</v>
      </c>
      <c r="B2" s="189">
        <f>MeasDate</f>
        <v>44749</v>
      </c>
      <c r="C2" s="190">
        <f>MeasTime</f>
        <v>0.70483796296296297</v>
      </c>
      <c r="D2" s="191">
        <f>Thickness</f>
        <v>7.0000000000000007E-2</v>
      </c>
      <c r="E2" s="191">
        <f>SampleDoping</f>
        <v>110920962330208.83</v>
      </c>
      <c r="F2" s="191">
        <f>OptConst</f>
        <v>0.7</v>
      </c>
      <c r="G2" s="192">
        <f>SpecMCD</f>
        <v>1000000000000000</v>
      </c>
      <c r="H2" s="191">
        <f>BiasLight</f>
        <v>0</v>
      </c>
      <c r="I2" s="191" t="str">
        <f>AnalysisMode</f>
        <v>Generalized (1/1)</v>
      </c>
      <c r="J2" s="193">
        <f>MeasuredLifetime</f>
        <v>363.87198498951619</v>
      </c>
      <c r="K2" s="192">
        <f>Jo</f>
        <v>1.1968272322696375E-12</v>
      </c>
      <c r="L2" s="194">
        <f>TauFitIntercept</f>
        <v>874.40015366939815</v>
      </c>
      <c r="M2" s="194">
        <f>SheetResistance</f>
        <v>896.43721466027193</v>
      </c>
      <c r="N2" s="194">
        <f>MeasuredResistivity</f>
        <v>62.750605026219041</v>
      </c>
      <c r="O2" s="193">
        <f>MaxSuns</f>
        <v>48.836185277488418</v>
      </c>
      <c r="P2" s="192">
        <f>Traps</f>
        <v>0</v>
      </c>
      <c r="Q2" s="192">
        <f>MaxApparentCD</f>
        <v>8318371307832016</v>
      </c>
      <c r="R2" s="195">
        <f ca="1">ImpliedVoc1sun</f>
        <v>0.59745898057031177</v>
      </c>
      <c r="S2" s="195">
        <f ca="1">ImpliedFF</f>
        <v>73.669914723992207</v>
      </c>
      <c r="T2" s="192">
        <f>RefCellCal</f>
        <v>8.410648736508439E-3</v>
      </c>
      <c r="U2" s="196">
        <f>A_cal</f>
        <v>1.9858419147887778E-4</v>
      </c>
      <c r="V2" s="196">
        <f>B_cal</f>
        <v>2.7686690947341129E-2</v>
      </c>
      <c r="W2" s="191">
        <f>C_cal</f>
        <v>-0.88567745792042296</v>
      </c>
      <c r="X2" s="197" t="str">
        <f>InstrumentSN</f>
        <v>WCT-0318</v>
      </c>
    </row>
    <row r="4" spans="1:24">
      <c r="A4" s="199" t="s">
        <v>131</v>
      </c>
      <c r="G4" s="200"/>
    </row>
    <row r="5" spans="1:24">
      <c r="A5" s="199" t="s">
        <v>27</v>
      </c>
      <c r="N5" s="198"/>
    </row>
    <row r="6" spans="1:24">
      <c r="A6" s="199" t="s">
        <v>30</v>
      </c>
    </row>
    <row r="8" spans="1:24">
      <c r="A8" s="198" t="s">
        <v>41</v>
      </c>
    </row>
    <row r="9" spans="1:24">
      <c r="A9" s="198" t="s">
        <v>42</v>
      </c>
    </row>
    <row r="10" spans="1:24" s="202" customFormat="1">
      <c r="A10" s="202" t="s">
        <v>32</v>
      </c>
      <c r="B10" s="202" t="s">
        <v>15</v>
      </c>
      <c r="C10" s="202" t="s">
        <v>19</v>
      </c>
      <c r="D10" s="202" t="s">
        <v>33</v>
      </c>
      <c r="E10" s="202" t="s">
        <v>34</v>
      </c>
      <c r="F10" s="202" t="s">
        <v>214</v>
      </c>
      <c r="G10" s="202" t="s">
        <v>215</v>
      </c>
      <c r="H10" s="202" t="s">
        <v>216</v>
      </c>
      <c r="I10" s="202" t="s">
        <v>35</v>
      </c>
      <c r="J10" s="202" t="s">
        <v>36</v>
      </c>
      <c r="K10" s="202" t="s">
        <v>40</v>
      </c>
      <c r="L10" s="202" t="s">
        <v>39</v>
      </c>
      <c r="M10" s="202" t="s">
        <v>37</v>
      </c>
      <c r="N10" s="202" t="s">
        <v>38</v>
      </c>
      <c r="O10" s="202" t="s">
        <v>45</v>
      </c>
      <c r="P10" s="202" t="s">
        <v>43</v>
      </c>
      <c r="Q10" s="203" t="s">
        <v>46</v>
      </c>
      <c r="R10" s="202" t="s">
        <v>275</v>
      </c>
      <c r="S10" s="202" t="s">
        <v>412</v>
      </c>
      <c r="T10" s="202" t="s">
        <v>217</v>
      </c>
      <c r="U10" s="202" t="s">
        <v>218</v>
      </c>
      <c r="V10" s="202" t="s">
        <v>219</v>
      </c>
      <c r="W10" s="202" t="s">
        <v>220</v>
      </c>
      <c r="X10" s="202" t="s">
        <v>221</v>
      </c>
    </row>
    <row r="11" spans="1:24">
      <c r="C11" s="204"/>
      <c r="D11" s="204"/>
    </row>
    <row r="20" spans="2:7" s="205" customFormat="1">
      <c r="C20" s="206"/>
      <c r="D20" s="204"/>
    </row>
    <row r="24" spans="2:7">
      <c r="B24" s="205"/>
      <c r="C24" s="206"/>
      <c r="D24" s="204"/>
      <c r="E24" s="205"/>
      <c r="F24" s="205"/>
      <c r="G24" s="205"/>
    </row>
  </sheetData>
  <phoneticPr fontId="4" type="noConversion"/>
  <pageMargins left="0.75" right="0.75" top="1" bottom="1" header="0.5" footer="0.5"/>
  <pageSetup orientation="portrait"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Z226"/>
  <sheetViews>
    <sheetView workbookViewId="0"/>
  </sheetViews>
  <sheetFormatPr defaultColWidth="9.109375" defaultRowHeight="13.8"/>
  <cols>
    <col min="1" max="1" width="9.33203125" style="132" bestFit="1" customWidth="1"/>
    <col min="2" max="2" width="13.6640625" style="132" customWidth="1"/>
    <col min="3" max="3" width="11.5546875" style="132" customWidth="1"/>
    <col min="4" max="5" width="12.44140625" style="132" bestFit="1" customWidth="1"/>
    <col min="6" max="6" width="9.33203125" style="132" bestFit="1" customWidth="1"/>
    <col min="7" max="7" width="12.44140625" style="132" bestFit="1" customWidth="1"/>
    <col min="8" max="8" width="12.44140625" style="132" customWidth="1"/>
    <col min="9" max="9" width="9.33203125" style="132" bestFit="1" customWidth="1"/>
    <col min="10" max="16384" width="9.109375" style="132"/>
  </cols>
  <sheetData>
    <row r="1" spans="1:26" ht="41.4">
      <c r="A1" s="215" t="s">
        <v>316</v>
      </c>
      <c r="B1" s="215" t="s">
        <v>55</v>
      </c>
      <c r="C1" s="215" t="s">
        <v>56</v>
      </c>
      <c r="D1" s="215" t="s">
        <v>181</v>
      </c>
      <c r="E1" s="215" t="s">
        <v>182</v>
      </c>
      <c r="F1" s="215" t="s">
        <v>368</v>
      </c>
      <c r="G1" s="215" t="s">
        <v>11</v>
      </c>
      <c r="H1" s="215" t="s">
        <v>337</v>
      </c>
      <c r="I1" s="215" t="s">
        <v>336</v>
      </c>
      <c r="J1" s="216"/>
      <c r="K1" s="217"/>
      <c r="L1" s="217"/>
      <c r="M1" s="217"/>
      <c r="N1" s="217"/>
      <c r="O1" s="217"/>
      <c r="P1" s="217"/>
      <c r="Q1" s="217"/>
      <c r="R1" s="217"/>
      <c r="S1" s="217"/>
      <c r="T1" s="217"/>
      <c r="U1" s="217"/>
      <c r="V1" s="217"/>
      <c r="W1" s="217"/>
      <c r="X1" s="217"/>
      <c r="Y1" s="217"/>
      <c r="Z1" s="217"/>
    </row>
    <row r="2" spans="1:26">
      <c r="A2" s="218">
        <f>Calc!A9</f>
        <v>4.99E-5</v>
      </c>
      <c r="B2" s="218">
        <f>Calc!B9</f>
        <v>1.29867</v>
      </c>
      <c r="C2" s="218">
        <f>Calc!C9</f>
        <v>0.230797</v>
      </c>
      <c r="D2" s="218">
        <f>Calc!I9</f>
        <v>1860484349193644.7</v>
      </c>
      <c r="E2" s="218">
        <f>Calc!P9</f>
        <v>0</v>
      </c>
      <c r="F2" s="219">
        <f>Calc!S9</f>
        <v>0</v>
      </c>
      <c r="G2" s="218">
        <f>Calc!O9</f>
        <v>1860484349193644.7</v>
      </c>
      <c r="H2" s="216" t="str">
        <f>Calc!X9</f>
        <v/>
      </c>
      <c r="I2" s="216" t="str">
        <f>Calc!Y9</f>
        <v/>
      </c>
      <c r="J2" s="216"/>
      <c r="K2" s="217"/>
      <c r="L2" s="217"/>
      <c r="M2" s="217"/>
      <c r="N2" s="217"/>
      <c r="O2" s="217"/>
      <c r="P2" s="217"/>
      <c r="Q2" s="217"/>
      <c r="R2" s="217"/>
      <c r="S2" s="217"/>
      <c r="T2" s="217"/>
      <c r="U2" s="217"/>
      <c r="V2" s="217"/>
      <c r="W2" s="217"/>
      <c r="X2" s="217"/>
      <c r="Y2" s="217"/>
      <c r="Z2" s="217"/>
    </row>
    <row r="3" spans="1:26">
      <c r="A3" s="218">
        <f>Calc!A10</f>
        <v>1.4990000000000001E-4</v>
      </c>
      <c r="B3" s="218">
        <f>Calc!B10</f>
        <v>3.5962399999999999</v>
      </c>
      <c r="C3" s="218">
        <f>Calc!C10</f>
        <v>0.34790500000000002</v>
      </c>
      <c r="D3" s="218">
        <f>Calc!I10</f>
        <v>5467332468520812</v>
      </c>
      <c r="E3" s="218">
        <f>Calc!P10</f>
        <v>0</v>
      </c>
      <c r="F3" s="219">
        <f>Calc!S10</f>
        <v>0</v>
      </c>
      <c r="G3" s="218">
        <f>Calc!O10</f>
        <v>5467332468520812</v>
      </c>
      <c r="H3" s="216" t="str">
        <f>Calc!X10</f>
        <v/>
      </c>
      <c r="I3" s="216" t="str">
        <f>Calc!Y10</f>
        <v/>
      </c>
      <c r="J3" s="216"/>
    </row>
    <row r="4" spans="1:26">
      <c r="A4" s="218">
        <f>Calc!A11</f>
        <v>2.499E-4</v>
      </c>
      <c r="B4" s="218">
        <f>Calc!B11</f>
        <v>4.7733499999999998</v>
      </c>
      <c r="C4" s="218">
        <f>Calc!C11</f>
        <v>0.410744</v>
      </c>
      <c r="D4" s="218">
        <f>Calc!I11</f>
        <v>7470796002349974</v>
      </c>
      <c r="E4" s="218">
        <f>Calc!P11</f>
        <v>7.4623957101111873E-5</v>
      </c>
      <c r="F4" s="219">
        <f>Calc!S11</f>
        <v>13307.873047051773</v>
      </c>
      <c r="G4" s="218">
        <f>Calc!O11</f>
        <v>7470796002349974</v>
      </c>
      <c r="H4" s="216" t="str">
        <f>Calc!X11</f>
        <v/>
      </c>
      <c r="I4" s="216" t="str">
        <f>Calc!Y11</f>
        <v/>
      </c>
      <c r="J4" s="216"/>
    </row>
    <row r="5" spans="1:26">
      <c r="A5" s="218">
        <f>Calc!A12</f>
        <v>3.4989999999999999E-4</v>
      </c>
      <c r="B5" s="218">
        <f>Calc!B12</f>
        <v>5.2317299999999998</v>
      </c>
      <c r="C5" s="218">
        <f>Calc!C12</f>
        <v>0.40932600000000002</v>
      </c>
      <c r="D5" s="218">
        <f>Calc!I12</f>
        <v>8280128858683653</v>
      </c>
      <c r="E5" s="218">
        <f>Calc!P12</f>
        <v>7.5737283108851802E-5</v>
      </c>
      <c r="F5" s="219">
        <f>Calc!S12</f>
        <v>13089.726252173676</v>
      </c>
      <c r="G5" s="218">
        <f>Calc!O12</f>
        <v>8280128858683653</v>
      </c>
      <c r="H5" s="216" t="str">
        <f>Calc!X12</f>
        <v/>
      </c>
      <c r="I5" s="216" t="str">
        <f>Calc!Y12</f>
        <v/>
      </c>
      <c r="J5" s="216"/>
    </row>
    <row r="6" spans="1:26">
      <c r="A6" s="218">
        <f>Calc!A13</f>
        <v>4.4989999999999999E-4</v>
      </c>
      <c r="B6" s="218">
        <f>Calc!B13</f>
        <v>5.2531600000000003</v>
      </c>
      <c r="C6" s="218">
        <f>Calc!C13</f>
        <v>0.38180199999999997</v>
      </c>
      <c r="D6" s="218">
        <f>Calc!I13</f>
        <v>8318371307832016</v>
      </c>
      <c r="E6" s="218">
        <f>Calc!P13</f>
        <v>7.762538928513496E-5</v>
      </c>
      <c r="F6" s="219">
        <f>Calc!S13</f>
        <v>12767.518860592136</v>
      </c>
      <c r="G6" s="218">
        <f>Calc!O13</f>
        <v>8318371307832016</v>
      </c>
      <c r="H6" s="220" t="str">
        <f>Calc!X13</f>
        <v/>
      </c>
      <c r="I6" s="221" t="str">
        <f>Calc!Y13</f>
        <v/>
      </c>
      <c r="J6" s="216"/>
    </row>
    <row r="7" spans="1:26">
      <c r="A7" s="218">
        <f>Calc!A14</f>
        <v>5.4989999999999998E-4</v>
      </c>
      <c r="B7" s="218">
        <f>Calc!B14</f>
        <v>5.13089</v>
      </c>
      <c r="C7" s="218">
        <f>Calc!C14</f>
        <v>0.35718699999999998</v>
      </c>
      <c r="D7" s="218">
        <f>Calc!I14</f>
        <v>8100663770522564</v>
      </c>
      <c r="E7" s="218">
        <f>Calc!P14</f>
        <v>7.8848284365177687E-5</v>
      </c>
      <c r="F7" s="219">
        <f>Calc!S14</f>
        <v>12573.653679563533</v>
      </c>
      <c r="G7" s="218">
        <f>Calc!O14</f>
        <v>8100663770522564</v>
      </c>
      <c r="H7" s="220">
        <f>Calc!X14</f>
        <v>0.70710306802994427</v>
      </c>
      <c r="I7" s="221">
        <f>Calc!Y14</f>
        <v>43.311903776445746</v>
      </c>
      <c r="J7" s="216"/>
    </row>
    <row r="8" spans="1:26">
      <c r="A8" s="218">
        <f>Calc!A15</f>
        <v>6.4990000000000002E-4</v>
      </c>
      <c r="B8" s="218">
        <f>Calc!B15</f>
        <v>4.9720800000000001</v>
      </c>
      <c r="C8" s="218">
        <f>Calc!C15</f>
        <v>0.33249899999999999</v>
      </c>
      <c r="D8" s="218">
        <f>Calc!I15</f>
        <v>7819653846977320</v>
      </c>
      <c r="E8" s="218">
        <f>Calc!P15</f>
        <v>8.1032250714042754E-5</v>
      </c>
      <c r="F8" s="219">
        <f>Calc!S15</f>
        <v>12239.261453411029</v>
      </c>
      <c r="G8" s="218">
        <f>Calc!O15</f>
        <v>7819653846977320</v>
      </c>
      <c r="H8" s="220">
        <f>Calc!X15</f>
        <v>0.70530152780345312</v>
      </c>
      <c r="I8" s="221">
        <f>Calc!Y15</f>
        <v>40.682585125613791</v>
      </c>
      <c r="J8" s="216"/>
    </row>
    <row r="9" spans="1:26">
      <c r="A9" s="218">
        <f>Calc!A16</f>
        <v>7.4989999999999996E-4</v>
      </c>
      <c r="B9" s="218">
        <f>Calc!B16</f>
        <v>4.8066899999999997</v>
      </c>
      <c r="C9" s="218">
        <f>Calc!C16</f>
        <v>0.30996299999999999</v>
      </c>
      <c r="D9" s="218">
        <f>Calc!I16</f>
        <v>7529106303172681</v>
      </c>
      <c r="E9" s="218">
        <f>Calc!P16</f>
        <v>8.3395180613490781E-5</v>
      </c>
      <c r="F9" s="219">
        <f>Calc!S16</f>
        <v>11896.999443241515</v>
      </c>
      <c r="G9" s="218">
        <f>Calc!O16</f>
        <v>7529106303172681</v>
      </c>
      <c r="H9" s="220">
        <f>Calc!X16</f>
        <v>0.70336994076103387</v>
      </c>
      <c r="I9" s="221">
        <f>Calc!Y16</f>
        <v>38.061104809250928</v>
      </c>
      <c r="J9" s="216"/>
    </row>
    <row r="10" spans="1:26">
      <c r="A10" s="218">
        <f>Calc!A17</f>
        <v>8.499E-4</v>
      </c>
      <c r="B10" s="218">
        <f>Calc!B17</f>
        <v>4.6413799999999998</v>
      </c>
      <c r="C10" s="218">
        <f>Calc!C17</f>
        <v>0.288663</v>
      </c>
      <c r="D10" s="218">
        <f>Calc!I17</f>
        <v>7240838114708719</v>
      </c>
      <c r="E10" s="218">
        <f>Calc!P17</f>
        <v>8.5944823279292967E-5</v>
      </c>
      <c r="F10" s="219">
        <f>Calc!S17</f>
        <v>11548.338749765946</v>
      </c>
      <c r="G10" s="218">
        <f>Calc!O17</f>
        <v>7240838114708719</v>
      </c>
      <c r="H10" s="220">
        <f>Calc!X17</f>
        <v>0.70137894146629209</v>
      </c>
      <c r="I10" s="221">
        <f>Calc!Y17</f>
        <v>35.517961338335965</v>
      </c>
      <c r="J10" s="216"/>
    </row>
    <row r="11" spans="1:26">
      <c r="A11" s="218">
        <f>Calc!A18</f>
        <v>9.4990000000000005E-4</v>
      </c>
      <c r="B11" s="218">
        <f>Calc!B18</f>
        <v>4.4779799999999996</v>
      </c>
      <c r="C11" s="218">
        <f>Calc!C18</f>
        <v>0.268293</v>
      </c>
      <c r="D11" s="218">
        <f>Calc!I18</f>
        <v>6957994349400993</v>
      </c>
      <c r="E11" s="218">
        <f>Calc!P18</f>
        <v>8.8714450952453051E-5</v>
      </c>
      <c r="F11" s="219">
        <f>Calc!S18</f>
        <v>11191.753993899069</v>
      </c>
      <c r="G11" s="218">
        <f>Calc!O18</f>
        <v>6957994349400993</v>
      </c>
      <c r="H11" s="220">
        <f>Calc!X18</f>
        <v>0.69934742084653756</v>
      </c>
      <c r="I11" s="221">
        <f>Calc!Y18</f>
        <v>33.065006908378798</v>
      </c>
      <c r="J11" s="216"/>
    </row>
    <row r="12" spans="1:26">
      <c r="A12" s="218">
        <f>Calc!A19</f>
        <v>1.0499000000000001E-3</v>
      </c>
      <c r="B12" s="218">
        <f>Calc!B19</f>
        <v>4.3195600000000001</v>
      </c>
      <c r="C12" s="218">
        <f>Calc!C19</f>
        <v>0.24960499999999999</v>
      </c>
      <c r="D12" s="218">
        <f>Calc!I19</f>
        <v>6685751356152515</v>
      </c>
      <c r="E12" s="218">
        <f>Calc!P19</f>
        <v>9.1504586756476668E-5</v>
      </c>
      <c r="F12" s="219">
        <f>Calc!S19</f>
        <v>10854.213133602732</v>
      </c>
      <c r="G12" s="218">
        <f>Calc!O19</f>
        <v>6685751356152515</v>
      </c>
      <c r="H12" s="220">
        <f>Calc!X19</f>
        <v>0.69731311746605329</v>
      </c>
      <c r="I12" s="221">
        <f>Calc!Y19</f>
        <v>30.80252169866527</v>
      </c>
      <c r="J12" s="216"/>
    </row>
    <row r="13" spans="1:26">
      <c r="A13" s="218">
        <f>Calc!A20</f>
        <v>1.1498999999999999E-3</v>
      </c>
      <c r="B13" s="218">
        <f>Calc!B20</f>
        <v>4.1661599999999996</v>
      </c>
      <c r="C13" s="218">
        <f>Calc!C20</f>
        <v>0.23241600000000001</v>
      </c>
      <c r="D13" s="218">
        <f>Calc!I20</f>
        <v>6423987082665524</v>
      </c>
      <c r="E13" s="218">
        <f>Calc!P20</f>
        <v>9.4321616593314472E-5</v>
      </c>
      <c r="F13" s="219">
        <f>Calc!S20</f>
        <v>10533.519313133955</v>
      </c>
      <c r="G13" s="218">
        <f>Calc!O20</f>
        <v>6423987082665524</v>
      </c>
      <c r="H13" s="220">
        <f>Calc!X20</f>
        <v>0.6952780973623075</v>
      </c>
      <c r="I13" s="221">
        <f>Calc!Y20</f>
        <v>28.712587952085897</v>
      </c>
      <c r="J13" s="216"/>
    </row>
    <row r="14" spans="1:26">
      <c r="A14" s="218">
        <f>Calc!A21</f>
        <v>1.2499E-3</v>
      </c>
      <c r="B14" s="218">
        <f>Calc!B21</f>
        <v>4.0182200000000003</v>
      </c>
      <c r="C14" s="218">
        <f>Calc!C21</f>
        <v>0.216002</v>
      </c>
      <c r="D14" s="218">
        <f>Calc!I21</f>
        <v>6173260391428934</v>
      </c>
      <c r="E14" s="218">
        <f>Calc!P21</f>
        <v>9.741969287724936E-5</v>
      </c>
      <c r="F14" s="219">
        <f>Calc!S21</f>
        <v>10201.603865059418</v>
      </c>
      <c r="G14" s="218">
        <f>Calc!O21</f>
        <v>6173260391428934</v>
      </c>
      <c r="H14" s="220">
        <f>Calc!X21</f>
        <v>0.69325026910031373</v>
      </c>
      <c r="I14" s="221">
        <f>Calc!Y21</f>
        <v>26.714481854597889</v>
      </c>
      <c r="J14" s="216"/>
    </row>
    <row r="15" spans="1:26">
      <c r="A15" s="218">
        <f>Calc!A22</f>
        <v>1.3499E-3</v>
      </c>
      <c r="B15" s="218">
        <f>Calc!B22</f>
        <v>3.8763899999999998</v>
      </c>
      <c r="C15" s="218">
        <f>Calc!C22</f>
        <v>0.20157600000000001</v>
      </c>
      <c r="D15" s="218">
        <f>Calc!I22</f>
        <v>5934470342486079</v>
      </c>
      <c r="E15" s="218">
        <f>Calc!P22</f>
        <v>1.0026249271370559E-4</v>
      </c>
      <c r="F15" s="219">
        <f>Calc!S22</f>
        <v>9915.3576731757494</v>
      </c>
      <c r="G15" s="218">
        <f>Calc!O22</f>
        <v>5934470342486079</v>
      </c>
      <c r="H15" s="220">
        <f>Calc!X22</f>
        <v>0.69124160115478561</v>
      </c>
      <c r="I15" s="221">
        <f>Calc!Y22</f>
        <v>24.952977853027182</v>
      </c>
      <c r="J15" s="216"/>
    </row>
    <row r="16" spans="1:26">
      <c r="A16" s="218">
        <f>Calc!A23</f>
        <v>1.4499000000000001E-3</v>
      </c>
      <c r="B16" s="218">
        <f>Calc!B23</f>
        <v>3.7397800000000001</v>
      </c>
      <c r="C16" s="218">
        <f>Calc!C23</f>
        <v>0.187643</v>
      </c>
      <c r="D16" s="218">
        <f>Calc!I23</f>
        <v>5705928596947935</v>
      </c>
      <c r="E16" s="218">
        <f>Calc!P23</f>
        <v>1.0345217649866598E-4</v>
      </c>
      <c r="F16" s="219">
        <f>Calc!S23</f>
        <v>9612.2565364752263</v>
      </c>
      <c r="G16" s="218">
        <f>Calc!O23</f>
        <v>5705928596947935</v>
      </c>
      <c r="H16" s="220">
        <f>Calc!X23</f>
        <v>0.68924267629173663</v>
      </c>
      <c r="I16" s="221">
        <f>Calc!Y23</f>
        <v>23.252283838529983</v>
      </c>
      <c r="J16" s="216"/>
    </row>
    <row r="17" spans="1:10">
      <c r="A17" s="218">
        <f>Calc!A24</f>
        <v>1.5499000000000001E-3</v>
      </c>
      <c r="B17" s="218">
        <f>Calc!B24</f>
        <v>3.6086999999999998</v>
      </c>
      <c r="C17" s="218">
        <f>Calc!C24</f>
        <v>0.17460100000000001</v>
      </c>
      <c r="D17" s="218">
        <f>Calc!I24</f>
        <v>5487981409533569</v>
      </c>
      <c r="E17" s="218">
        <f>Calc!P24</f>
        <v>1.0681173087304521E-4</v>
      </c>
      <c r="F17" s="219">
        <f>Calc!S24</f>
        <v>9312.2717517796282</v>
      </c>
      <c r="G17" s="218">
        <f>Calc!O24</f>
        <v>5487981409533569</v>
      </c>
      <c r="H17" s="220">
        <f>Calc!X24</f>
        <v>0.68726111757772479</v>
      </c>
      <c r="I17" s="221">
        <f>Calc!Y24</f>
        <v>21.660705307346404</v>
      </c>
      <c r="J17" s="216"/>
    </row>
    <row r="18" spans="1:10">
      <c r="A18" s="218">
        <f>Calc!A25</f>
        <v>1.6498999999999999E-3</v>
      </c>
      <c r="B18" s="218">
        <f>Calc!B25</f>
        <v>3.4823499999999998</v>
      </c>
      <c r="C18" s="218">
        <f>Calc!C25</f>
        <v>0.16313800000000001</v>
      </c>
      <c r="D18" s="218">
        <f>Calc!I25</f>
        <v>5279140938784232</v>
      </c>
      <c r="E18" s="218">
        <f>Calc!P25</f>
        <v>1.0986233973516184E-4</v>
      </c>
      <c r="F18" s="219">
        <f>Calc!S25</f>
        <v>9056.0371415925947</v>
      </c>
      <c r="G18" s="218">
        <f>Calc!O25</f>
        <v>5279140938784232</v>
      </c>
      <c r="H18" s="220">
        <f>Calc!X25</f>
        <v>0.68528784751783256</v>
      </c>
      <c r="I18" s="221">
        <f>Calc!Y25</f>
        <v>20.257848916628266</v>
      </c>
      <c r="J18" s="216"/>
    </row>
    <row r="19" spans="1:10">
      <c r="A19" s="218">
        <f>Calc!A26</f>
        <v>1.7499E-3</v>
      </c>
      <c r="B19" s="218">
        <f>Calc!B26</f>
        <v>3.3605900000000002</v>
      </c>
      <c r="C19" s="218">
        <f>Calc!C26</f>
        <v>0.15195600000000001</v>
      </c>
      <c r="D19" s="218">
        <f>Calc!I26</f>
        <v>5079038322726614</v>
      </c>
      <c r="E19" s="218">
        <f>Calc!P26</f>
        <v>1.1335169096419158E-4</v>
      </c>
      <c r="F19" s="219">
        <f>Calc!S26</f>
        <v>8779.2780096452225</v>
      </c>
      <c r="G19" s="218">
        <f>Calc!O26</f>
        <v>5079038322726614</v>
      </c>
      <c r="H19" s="220">
        <f>Calc!X26</f>
        <v>0.68332326993305692</v>
      </c>
      <c r="I19" s="221">
        <f>Calc!Y26</f>
        <v>18.890019297686337</v>
      </c>
      <c r="J19" s="216"/>
    </row>
    <row r="20" spans="1:10">
      <c r="A20" s="218">
        <f>Calc!A27</f>
        <v>1.8499E-3</v>
      </c>
      <c r="B20" s="218">
        <f>Calc!B27</f>
        <v>3.2442799999999998</v>
      </c>
      <c r="C20" s="218">
        <f>Calc!C27</f>
        <v>0.14188799999999999</v>
      </c>
      <c r="D20" s="218">
        <f>Calc!I27</f>
        <v>4888945383497467</v>
      </c>
      <c r="E20" s="218">
        <f>Calc!P27</f>
        <v>1.1674313049101478E-4</v>
      </c>
      <c r="F20" s="219">
        <f>Calc!S27</f>
        <v>8526.1375341956973</v>
      </c>
      <c r="G20" s="218">
        <f>Calc!O27</f>
        <v>4888945383497467</v>
      </c>
      <c r="H20" s="220">
        <f>Calc!X27</f>
        <v>0.68138470263811135</v>
      </c>
      <c r="I20" s="221">
        <f>Calc!Y27</f>
        <v>17.654798529453487</v>
      </c>
      <c r="J20" s="216"/>
    </row>
    <row r="21" spans="1:10">
      <c r="A21" s="218">
        <f>Calc!A28</f>
        <v>1.9499000000000001E-3</v>
      </c>
      <c r="B21" s="218">
        <f>Calc!B28</f>
        <v>3.1324100000000001</v>
      </c>
      <c r="C21" s="218">
        <f>Calc!C28</f>
        <v>0.13259299999999999</v>
      </c>
      <c r="D21" s="218">
        <f>Calc!I28</f>
        <v>4707078034554299</v>
      </c>
      <c r="E21" s="218">
        <f>Calc!P28</f>
        <v>1.201758774037065E-4</v>
      </c>
      <c r="F21" s="219">
        <f>Calc!S28</f>
        <v>8284.3575706910342</v>
      </c>
      <c r="G21" s="218">
        <f>Calc!O28</f>
        <v>4707078034554299</v>
      </c>
      <c r="H21" s="220">
        <f>Calc!X28</f>
        <v>0.67945893510604771</v>
      </c>
      <c r="I21" s="221">
        <f>Calc!Y28</f>
        <v>16.512506884573945</v>
      </c>
      <c r="J21" s="216"/>
    </row>
    <row r="22" spans="1:10">
      <c r="A22" s="218">
        <f>Calc!A29</f>
        <v>2.0498999999999999E-3</v>
      </c>
      <c r="B22" s="218">
        <f>Calc!B29</f>
        <v>3.0256400000000001</v>
      </c>
      <c r="C22" s="218">
        <f>Calc!C29</f>
        <v>0.12359000000000001</v>
      </c>
      <c r="D22" s="218">
        <f>Calc!I29</f>
        <v>4534386484947477</v>
      </c>
      <c r="E22" s="218">
        <f>Calc!P29</f>
        <v>1.2406369302032089E-4</v>
      </c>
      <c r="F22" s="219">
        <f>Calc!S29</f>
        <v>8026.2451927149241</v>
      </c>
      <c r="G22" s="218">
        <f>Calc!O29</f>
        <v>4534386484947477</v>
      </c>
      <c r="H22" s="220">
        <f>Calc!X29</f>
        <v>0.67756099161676997</v>
      </c>
      <c r="I22" s="221">
        <f>Calc!Y29</f>
        <v>15.408229714495468</v>
      </c>
      <c r="J22" s="216"/>
    </row>
    <row r="23" spans="1:10">
      <c r="A23" s="218">
        <f>Calc!A30</f>
        <v>2.1499000000000002E-3</v>
      </c>
      <c r="B23" s="218">
        <f>Calc!B30</f>
        <v>2.9232800000000001</v>
      </c>
      <c r="C23" s="218">
        <f>Calc!C30</f>
        <v>0.115971</v>
      </c>
      <c r="D23" s="218">
        <f>Calc!I30</f>
        <v>4369637826078056</v>
      </c>
      <c r="E23" s="218">
        <f>Calc!P30</f>
        <v>1.2730173289811223E-4</v>
      </c>
      <c r="F23" s="219">
        <f>Calc!S30</f>
        <v>7823.6570120847082</v>
      </c>
      <c r="G23" s="218">
        <f>Calc!O30</f>
        <v>4369637826078056</v>
      </c>
      <c r="H23" s="220">
        <f>Calc!X30</f>
        <v>0.67568255288614687</v>
      </c>
      <c r="I23" s="221">
        <f>Calc!Y30</f>
        <v>14.470716722871414</v>
      </c>
      <c r="J23" s="216"/>
    </row>
    <row r="24" spans="1:10">
      <c r="A24" s="218">
        <f>Calc!A31</f>
        <v>2.2499E-3</v>
      </c>
      <c r="B24" s="218">
        <f>Calc!B31</f>
        <v>2.8243299999999998</v>
      </c>
      <c r="C24" s="218">
        <f>Calc!C31</f>
        <v>0.108338</v>
      </c>
      <c r="D24" s="218">
        <f>Calc!I31</f>
        <v>4211130389768981</v>
      </c>
      <c r="E24" s="218">
        <f>Calc!P31</f>
        <v>1.3117593442729252E-4</v>
      </c>
      <c r="F24" s="219">
        <f>Calc!S31</f>
        <v>7593.911736956773</v>
      </c>
      <c r="G24" s="218">
        <f>Calc!O31</f>
        <v>4211130389768981</v>
      </c>
      <c r="H24" s="220">
        <f>Calc!X31</f>
        <v>0.67380803979692983</v>
      </c>
      <c r="I24" s="221">
        <f>Calc!Y31</f>
        <v>13.533914774085279</v>
      </c>
      <c r="J24" s="216"/>
    </row>
    <row r="25" spans="1:10">
      <c r="A25" s="218">
        <f>Calc!A32</f>
        <v>2.3498999999999998E-3</v>
      </c>
      <c r="B25" s="218">
        <f>Calc!B32</f>
        <v>2.7293599999999998</v>
      </c>
      <c r="C25" s="218">
        <f>Calc!C32</f>
        <v>0.101144</v>
      </c>
      <c r="D25" s="218">
        <f>Calc!I32</f>
        <v>4059693690977409</v>
      </c>
      <c r="E25" s="218">
        <f>Calc!P32</f>
        <v>1.3529620005831467E-4</v>
      </c>
      <c r="F25" s="219">
        <f>Calc!S32</f>
        <v>7363.8319372213728</v>
      </c>
      <c r="G25" s="218">
        <f>Calc!O32</f>
        <v>4059693690977409</v>
      </c>
      <c r="H25" s="220">
        <f>Calc!X32</f>
        <v>0.67195090190407991</v>
      </c>
      <c r="I25" s="221">
        <f>Calc!Y32</f>
        <v>12.649885156736129</v>
      </c>
      <c r="J25" s="216"/>
    </row>
    <row r="26" spans="1:10">
      <c r="A26" s="218">
        <f>Calc!A33</f>
        <v>2.4499000000000001E-3</v>
      </c>
      <c r="B26" s="218">
        <f>Calc!B33</f>
        <v>2.6382500000000002</v>
      </c>
      <c r="C26" s="218">
        <f>Calc!C33</f>
        <v>9.5122200000000004E-2</v>
      </c>
      <c r="D26" s="218">
        <f>Calc!I33</f>
        <v>3915051365799600.5</v>
      </c>
      <c r="E26" s="218">
        <f>Calc!P33</f>
        <v>1.3862965562986594E-4</v>
      </c>
      <c r="F26" s="219">
        <f>Calc!S33</f>
        <v>7188.0199208736421</v>
      </c>
      <c r="G26" s="218">
        <f>Calc!O33</f>
        <v>3915051365799600.5</v>
      </c>
      <c r="H26" s="220">
        <f>Calc!X33</f>
        <v>0.67011211329508569</v>
      </c>
      <c r="I26" s="221">
        <f>Calc!Y33</f>
        <v>11.905845298309432</v>
      </c>
      <c r="J26" s="216"/>
    </row>
    <row r="27" spans="1:10">
      <c r="A27" s="218">
        <f>Calc!A34</f>
        <v>2.5498999999999999E-3</v>
      </c>
      <c r="B27" s="218">
        <f>Calc!B34</f>
        <v>2.5511699999999999</v>
      </c>
      <c r="C27" s="218">
        <f>Calc!C34</f>
        <v>8.8832599999999998E-2</v>
      </c>
      <c r="D27" s="218">
        <f>Calc!I34</f>
        <v>3777391503419801.5</v>
      </c>
      <c r="E27" s="218">
        <f>Calc!P34</f>
        <v>1.4305012206578124E-4</v>
      </c>
      <c r="F27" s="219">
        <f>Calc!S34</f>
        <v>6966.8707554926832</v>
      </c>
      <c r="G27" s="218">
        <f>Calc!O34</f>
        <v>3777391503419801.5</v>
      </c>
      <c r="H27" s="220">
        <f>Calc!X34</f>
        <v>0.66829875997027111</v>
      </c>
      <c r="I27" s="221">
        <f>Calc!Y34</f>
        <v>11.132243096429129</v>
      </c>
      <c r="J27" s="216"/>
    </row>
    <row r="28" spans="1:10">
      <c r="A28" s="218">
        <f>Calc!A35</f>
        <v>2.6499000000000002E-3</v>
      </c>
      <c r="B28" s="218">
        <f>Calc!B35</f>
        <v>2.46726</v>
      </c>
      <c r="C28" s="218">
        <f>Calc!C35</f>
        <v>8.3323400000000006E-2</v>
      </c>
      <c r="D28" s="218">
        <f>Calc!I35</f>
        <v>3645283068023184</v>
      </c>
      <c r="E28" s="218">
        <f>Calc!P35</f>
        <v>1.4701804781920143E-4</v>
      </c>
      <c r="F28" s="219">
        <f>Calc!S35</f>
        <v>6779.8277646257875</v>
      </c>
      <c r="G28" s="218">
        <f>Calc!O35</f>
        <v>3645283068023184</v>
      </c>
      <c r="H28" s="220">
        <f>Calc!X35</f>
        <v>0.66649619439574359</v>
      </c>
      <c r="I28" s="221">
        <f>Calc!Y35</f>
        <v>10.452965615262581</v>
      </c>
      <c r="J28" s="216"/>
    </row>
    <row r="29" spans="1:10">
      <c r="A29" s="218">
        <f>Calc!A36</f>
        <v>2.7499E-3</v>
      </c>
      <c r="B29" s="218">
        <f>Calc!B36</f>
        <v>2.3862000000000001</v>
      </c>
      <c r="C29" s="218">
        <f>Calc!C36</f>
        <v>7.8243800000000002E-2</v>
      </c>
      <c r="D29" s="218">
        <f>Calc!I36</f>
        <v>3518164805781539.5</v>
      </c>
      <c r="E29" s="218">
        <f>Calc!P36</f>
        <v>1.5094571186283174E-4</v>
      </c>
      <c r="F29" s="219">
        <f>Calc!S36</f>
        <v>6604.351744052502</v>
      </c>
      <c r="G29" s="218">
        <f>Calc!O36</f>
        <v>3518164805781539.5</v>
      </c>
      <c r="H29" s="220">
        <f>Calc!X36</f>
        <v>0.66469988154137105</v>
      </c>
      <c r="I29" s="221">
        <f>Calc!Y36</f>
        <v>9.8259446869071354</v>
      </c>
      <c r="J29" s="216"/>
    </row>
    <row r="30" spans="1:10">
      <c r="A30" s="218">
        <f>Calc!A37</f>
        <v>2.8498999999999998E-3</v>
      </c>
      <c r="B30" s="218">
        <f>Calc!B37</f>
        <v>2.3086500000000001</v>
      </c>
      <c r="C30" s="218">
        <f>Calc!C37</f>
        <v>7.30846E-2</v>
      </c>
      <c r="D30" s="218">
        <f>Calc!I37</f>
        <v>3397013458479484</v>
      </c>
      <c r="E30" s="218">
        <f>Calc!P37</f>
        <v>1.5582662394344281E-4</v>
      </c>
      <c r="F30" s="219">
        <f>Calc!S37</f>
        <v>6398.2326968179159</v>
      </c>
      <c r="G30" s="218">
        <f>Calc!O37</f>
        <v>3397013458479484</v>
      </c>
      <c r="H30" s="220">
        <f>Calc!X37</f>
        <v>0.66292736858521273</v>
      </c>
      <c r="I30" s="221">
        <f>Calc!Y37</f>
        <v>9.1904022674708266</v>
      </c>
      <c r="J30" s="216"/>
    </row>
    <row r="31" spans="1:10">
      <c r="A31" s="218">
        <f>Calc!A38</f>
        <v>2.9499000000000001E-3</v>
      </c>
      <c r="B31" s="218">
        <f>Calc!B38</f>
        <v>2.23427</v>
      </c>
      <c r="C31" s="218">
        <f>Calc!C38</f>
        <v>6.9025500000000004E-2</v>
      </c>
      <c r="D31" s="218">
        <f>Calc!I38</f>
        <v>3281239170397494.5</v>
      </c>
      <c r="E31" s="218">
        <f>Calc!P38</f>
        <v>1.5922926037233295E-4</v>
      </c>
      <c r="F31" s="219">
        <f>Calc!S38</f>
        <v>6262.3803072846267</v>
      </c>
      <c r="G31" s="218">
        <f>Calc!O38</f>
        <v>3281239170397494.5</v>
      </c>
      <c r="H31" s="220">
        <f>Calc!X38</f>
        <v>0.66117438681038265</v>
      </c>
      <c r="I31" s="221">
        <f>Calc!Y38</f>
        <v>8.6874821391845387</v>
      </c>
      <c r="J31" s="216"/>
    </row>
    <row r="32" spans="1:10">
      <c r="A32" s="218">
        <f>Calc!A39</f>
        <v>3.0498999999999999E-3</v>
      </c>
      <c r="B32" s="218">
        <f>Calc!B39</f>
        <v>2.1623600000000001</v>
      </c>
      <c r="C32" s="218">
        <f>Calc!C39</f>
        <v>6.4700300000000002E-2</v>
      </c>
      <c r="D32" s="218">
        <f>Calc!I39</f>
        <v>3169704805721946</v>
      </c>
      <c r="E32" s="218">
        <f>Calc!P39</f>
        <v>1.6387023736323981E-4</v>
      </c>
      <c r="F32" s="219">
        <f>Calc!S39</f>
        <v>6085.7113358876932</v>
      </c>
      <c r="G32" s="218">
        <f>Calc!O39</f>
        <v>3169704805721946</v>
      </c>
      <c r="H32" s="220">
        <f>Calc!X39</f>
        <v>0.65942707058872008</v>
      </c>
      <c r="I32" s="221">
        <f>Calc!Y39</f>
        <v>8.1545058881122046</v>
      </c>
      <c r="J32" s="216"/>
    </row>
    <row r="33" spans="1:10">
      <c r="A33" s="218">
        <f>Calc!A40</f>
        <v>3.1499000000000002E-3</v>
      </c>
      <c r="B33" s="218">
        <f>Calc!B40</f>
        <v>2.09259</v>
      </c>
      <c r="C33" s="218">
        <f>Calc!C40</f>
        <v>6.04962E-2</v>
      </c>
      <c r="D33" s="218">
        <f>Calc!I40</f>
        <v>3061861028118759.5</v>
      </c>
      <c r="E33" s="218">
        <f>Calc!P40</f>
        <v>1.6903271897014747E-4</v>
      </c>
      <c r="F33" s="219">
        <f>Calc!S40</f>
        <v>5900.4519146604607</v>
      </c>
      <c r="G33" s="218">
        <f>Calc!O40</f>
        <v>3061861028118759.5</v>
      </c>
      <c r="H33" s="220">
        <f>Calc!X40</f>
        <v>0.65767909892450904</v>
      </c>
      <c r="I33" s="221">
        <f>Calc!Y40</f>
        <v>7.6364869303833816</v>
      </c>
      <c r="J33" s="216"/>
    </row>
    <row r="34" spans="1:10">
      <c r="A34" s="218">
        <f>Calc!A41</f>
        <v>3.2499E-3</v>
      </c>
      <c r="B34" s="218">
        <f>Calc!B41</f>
        <v>2.0257900000000002</v>
      </c>
      <c r="C34" s="218">
        <f>Calc!C41</f>
        <v>5.72755E-2</v>
      </c>
      <c r="D34" s="218">
        <f>Calc!I41</f>
        <v>2958950718217559</v>
      </c>
      <c r="E34" s="218">
        <f>Calc!P41</f>
        <v>1.7241057935123518E-4</v>
      </c>
      <c r="F34" s="219">
        <f>Calc!S41</f>
        <v>5785.574166313927</v>
      </c>
      <c r="G34" s="218">
        <f>Calc!O41</f>
        <v>2958950718217559</v>
      </c>
      <c r="H34" s="220">
        <f>Calc!X41</f>
        <v>0.65595372688736586</v>
      </c>
      <c r="I34" s="221">
        <f>Calc!Y41</f>
        <v>7.2352365718806757</v>
      </c>
      <c r="J34" s="216"/>
    </row>
    <row r="35" spans="1:10">
      <c r="A35" s="218">
        <f>Calc!A42</f>
        <v>3.3498999999999998E-3</v>
      </c>
      <c r="B35" s="218">
        <f>Calc!B42</f>
        <v>1.9616199999999999</v>
      </c>
      <c r="C35" s="218">
        <f>Calc!C42</f>
        <v>5.3618800000000001E-2</v>
      </c>
      <c r="D35" s="218">
        <f>Calc!I42</f>
        <v>2860407854364167.5</v>
      </c>
      <c r="E35" s="218">
        <f>Calc!P42</f>
        <v>1.7776442946842142E-4</v>
      </c>
      <c r="F35" s="219">
        <f>Calc!S42</f>
        <v>5611.8403716299599</v>
      </c>
      <c r="G35" s="218">
        <f>Calc!O42</f>
        <v>2860407854364167.5</v>
      </c>
      <c r="H35" s="220">
        <f>Calc!X42</f>
        <v>0.65424541910145706</v>
      </c>
      <c r="I35" s="221">
        <f>Calc!Y42</f>
        <v>6.7836278376570665</v>
      </c>
      <c r="J35" s="216"/>
    </row>
    <row r="36" spans="1:10">
      <c r="A36" s="218">
        <f>Calc!A43</f>
        <v>3.4499000000000001E-3</v>
      </c>
      <c r="B36" s="218">
        <f>Calc!B43</f>
        <v>1.8999200000000001</v>
      </c>
      <c r="C36" s="218">
        <f>Calc!C43</f>
        <v>5.0447400000000003E-2</v>
      </c>
      <c r="D36" s="218">
        <f>Calc!I43</f>
        <v>2765949848676798.5</v>
      </c>
      <c r="E36" s="218">
        <f>Calc!P43</f>
        <v>1.82477544332526E-4</v>
      </c>
      <c r="F36" s="219">
        <f>Calc!S43</f>
        <v>5467.4265611713436</v>
      </c>
      <c r="G36" s="218">
        <f>Calc!O43</f>
        <v>2765949848676798.5</v>
      </c>
      <c r="H36" s="220">
        <f>Calc!X43</f>
        <v>0.6525528024783771</v>
      </c>
      <c r="I36" s="221">
        <f>Calc!Y43</f>
        <v>6.3901902557067727</v>
      </c>
      <c r="J36" s="216"/>
    </row>
    <row r="37" spans="1:10">
      <c r="A37" s="218">
        <f>Calc!A44</f>
        <v>3.5498999999999999E-3</v>
      </c>
      <c r="B37" s="218">
        <f>Calc!B44</f>
        <v>1.83958</v>
      </c>
      <c r="C37" s="218">
        <f>Calc!C44</f>
        <v>4.7658800000000001E-2</v>
      </c>
      <c r="D37" s="218">
        <f>Calc!I44</f>
        <v>2673850634950063.5</v>
      </c>
      <c r="E37" s="218">
        <f>Calc!P44</f>
        <v>1.8650284921048005E-4</v>
      </c>
      <c r="F37" s="219">
        <f>Calc!S44</f>
        <v>5349.9802483296198</v>
      </c>
      <c r="G37" s="218">
        <f>Calc!O44</f>
        <v>2673850634950063.5</v>
      </c>
      <c r="H37" s="220">
        <f>Calc!X44</f>
        <v>0.65084694013058375</v>
      </c>
      <c r="I37" s="221">
        <f>Calc!Y44</f>
        <v>6.0440853363611238</v>
      </c>
      <c r="J37" s="216"/>
    </row>
    <row r="38" spans="1:10">
      <c r="A38" s="218">
        <f>Calc!A45</f>
        <v>3.6499000000000002E-3</v>
      </c>
      <c r="B38" s="218">
        <f>Calc!B45</f>
        <v>1.7826</v>
      </c>
      <c r="C38" s="218">
        <f>Calc!C45</f>
        <v>4.4464999999999998E-2</v>
      </c>
      <c r="D38" s="218">
        <f>Calc!I45</f>
        <v>2587131206289060</v>
      </c>
      <c r="E38" s="218">
        <f>Calc!P45</f>
        <v>1.930540000338458E-4</v>
      </c>
      <c r="F38" s="219">
        <f>Calc!S45</f>
        <v>5168.787060027822</v>
      </c>
      <c r="G38" s="218">
        <f>Calc!O45</f>
        <v>2587131206289060</v>
      </c>
      <c r="H38" s="220">
        <f>Calc!X45</f>
        <v>0.64918721805320789</v>
      </c>
      <c r="I38" s="221">
        <f>Calc!Y45</f>
        <v>5.6496112510495502</v>
      </c>
      <c r="J38" s="216"/>
    </row>
    <row r="39" spans="1:10">
      <c r="A39" s="218">
        <f>Calc!A46</f>
        <v>3.7499E-3</v>
      </c>
      <c r="B39" s="218">
        <f>Calc!B46</f>
        <v>1.7264900000000001</v>
      </c>
      <c r="C39" s="218">
        <f>Calc!C46</f>
        <v>4.23141E-2</v>
      </c>
      <c r="D39" s="218">
        <f>Calc!I46</f>
        <v>2501974474969103.5</v>
      </c>
      <c r="E39" s="218">
        <f>Calc!P46</f>
        <v>1.9607820159662161E-4</v>
      </c>
      <c r="F39" s="219">
        <f>Calc!S46</f>
        <v>5089.6145818650366</v>
      </c>
      <c r="G39" s="218">
        <f>Calc!O46</f>
        <v>2501974474969103.5</v>
      </c>
      <c r="H39" s="220">
        <f>Calc!X46</f>
        <v>0.64750348174611971</v>
      </c>
      <c r="I39" s="221">
        <f>Calc!Y46</f>
        <v>5.3793831079196641</v>
      </c>
      <c r="J39" s="216"/>
    </row>
    <row r="40" spans="1:10">
      <c r="A40" s="218">
        <f>Calc!A47</f>
        <v>3.8498999999999999E-3</v>
      </c>
      <c r="B40" s="218">
        <f>Calc!B47</f>
        <v>1.67334</v>
      </c>
      <c r="C40" s="218">
        <f>Calc!C47</f>
        <v>3.9700300000000001E-2</v>
      </c>
      <c r="D40" s="218">
        <f>Calc!I47</f>
        <v>2421528536526037</v>
      </c>
      <c r="E40" s="218">
        <f>Calc!P47</f>
        <v>2.0187771016960771E-4</v>
      </c>
      <c r="F40" s="219">
        <f>Calc!S47</f>
        <v>4943.7599621651152</v>
      </c>
      <c r="G40" s="218">
        <f>Calc!O47</f>
        <v>2421528536526037</v>
      </c>
      <c r="H40" s="220">
        <f>Calc!X47</f>
        <v>0.64586052413117823</v>
      </c>
      <c r="I40" s="221">
        <f>Calc!Y47</f>
        <v>5.056850756795086</v>
      </c>
      <c r="J40" s="216"/>
    </row>
    <row r="41" spans="1:10">
      <c r="A41" s="218">
        <f>Calc!A48</f>
        <v>3.9499000000000001E-3</v>
      </c>
      <c r="B41" s="218">
        <f>Calc!B48</f>
        <v>1.62164</v>
      </c>
      <c r="C41" s="218">
        <f>Calc!C48</f>
        <v>3.7157799999999998E-2</v>
      </c>
      <c r="D41" s="218">
        <f>Calc!I48</f>
        <v>2343481311620845.5</v>
      </c>
      <c r="E41" s="218">
        <f>Calc!P48</f>
        <v>2.0834194553787357E-4</v>
      </c>
      <c r="F41" s="219">
        <f>Calc!S48</f>
        <v>4790.6850212775289</v>
      </c>
      <c r="G41" s="218">
        <f>Calc!O48</f>
        <v>2343481311620845.5</v>
      </c>
      <c r="H41" s="220">
        <f>Calc!X48</f>
        <v>0.64421469015277499</v>
      </c>
      <c r="I41" s="221">
        <f>Calc!Y48</f>
        <v>4.7420234172243791</v>
      </c>
      <c r="J41" s="216"/>
    </row>
    <row r="42" spans="1:10">
      <c r="A42" s="218">
        <f>Calc!A49</f>
        <v>4.0499000000000004E-3</v>
      </c>
      <c r="B42" s="218">
        <f>Calc!B49</f>
        <v>1.5709500000000001</v>
      </c>
      <c r="C42" s="218">
        <f>Calc!C49</f>
        <v>3.5369699999999997E-2</v>
      </c>
      <c r="D42" s="218">
        <f>Calc!I49</f>
        <v>2267154283863490</v>
      </c>
      <c r="E42" s="218">
        <f>Calc!P49</f>
        <v>2.1151218015968892E-4</v>
      </c>
      <c r="F42" s="219">
        <f>Calc!S49</f>
        <v>4719.3277320563875</v>
      </c>
      <c r="G42" s="218">
        <f>Calc!O49</f>
        <v>2267154283863490</v>
      </c>
      <c r="H42" s="220">
        <f>Calc!X49</f>
        <v>0.6425524455117898</v>
      </c>
      <c r="I42" s="221">
        <f>Calc!Y49</f>
        <v>4.5188154922868833</v>
      </c>
      <c r="J42" s="216"/>
    </row>
    <row r="43" spans="1:10">
      <c r="A43" s="218">
        <f>Calc!A50</f>
        <v>4.1498999999999998E-3</v>
      </c>
      <c r="B43" s="218">
        <f>Calc!B50</f>
        <v>1.52278</v>
      </c>
      <c r="C43" s="218">
        <f>Calc!C50</f>
        <v>3.3139799999999997E-2</v>
      </c>
      <c r="D43" s="218">
        <f>Calc!I50</f>
        <v>2194801256365321</v>
      </c>
      <c r="E43" s="218">
        <f>Calc!P50</f>
        <v>2.1808729116186548E-4</v>
      </c>
      <c r="F43" s="219">
        <f>Calc!S50</f>
        <v>4577.3234446342249</v>
      </c>
      <c r="G43" s="218">
        <f>Calc!O50</f>
        <v>2194801256365321</v>
      </c>
      <c r="H43" s="220">
        <f>Calc!X50</f>
        <v>0.64092546151098728</v>
      </c>
      <c r="I43" s="221">
        <f>Calc!Y50</f>
        <v>4.2427139995729108</v>
      </c>
      <c r="J43" s="216"/>
    </row>
    <row r="44" spans="1:10">
      <c r="A44" s="218">
        <f>Calc!A51</f>
        <v>4.2499E-3</v>
      </c>
      <c r="B44" s="218">
        <f>Calc!B51</f>
        <v>1.47559</v>
      </c>
      <c r="C44" s="218">
        <f>Calc!C51</f>
        <v>3.1439599999999998E-2</v>
      </c>
      <c r="D44" s="218">
        <f>Calc!I51</f>
        <v>2124089956570445.5</v>
      </c>
      <c r="E44" s="218">
        <f>Calc!P51</f>
        <v>2.2227304992602321E-4</v>
      </c>
      <c r="F44" s="219">
        <f>Calc!S51</f>
        <v>4491.4814558431954</v>
      </c>
      <c r="G44" s="218">
        <f>Calc!O51</f>
        <v>2124089956570445.5</v>
      </c>
      <c r="H44" s="220">
        <f>Calc!X51</f>
        <v>0.63928397623559774</v>
      </c>
      <c r="I44" s="221">
        <f>Calc!Y51</f>
        <v>4.0287007727874968</v>
      </c>
      <c r="J44" s="216"/>
    </row>
    <row r="45" spans="1:10">
      <c r="A45" s="218">
        <f>Calc!A52</f>
        <v>4.3499000000000003E-3</v>
      </c>
      <c r="B45" s="218">
        <f>Calc!B52</f>
        <v>1.43021</v>
      </c>
      <c r="C45" s="218">
        <f>Calc!C52</f>
        <v>2.9847800000000001E-2</v>
      </c>
      <c r="D45" s="218">
        <f>Calc!I52</f>
        <v>2056249407246207.2</v>
      </c>
      <c r="E45" s="218">
        <f>Calc!P52</f>
        <v>2.2639227838257232E-4</v>
      </c>
      <c r="F45" s="219">
        <f>Calc!S52</f>
        <v>4410.0930328305221</v>
      </c>
      <c r="G45" s="218">
        <f>Calc!O52</f>
        <v>2056249407246207.2</v>
      </c>
      <c r="H45" s="220">
        <f>Calc!X52</f>
        <v>0.63765822102321223</v>
      </c>
      <c r="I45" s="221">
        <f>Calc!Y52</f>
        <v>3.8290681414889089</v>
      </c>
      <c r="J45" s="216"/>
    </row>
    <row r="46" spans="1:10">
      <c r="A46" s="218">
        <f>Calc!A53</f>
        <v>4.4498999999999997E-3</v>
      </c>
      <c r="B46" s="218">
        <f>Calc!B53</f>
        <v>1.38696</v>
      </c>
      <c r="C46" s="218">
        <f>Calc!C53</f>
        <v>2.79142E-2</v>
      </c>
      <c r="D46" s="218">
        <f>Calc!I53</f>
        <v>1991737917425052.2</v>
      </c>
      <c r="E46" s="218">
        <f>Calc!P53</f>
        <v>2.3399611330385625E-4</v>
      </c>
      <c r="F46" s="219">
        <f>Calc!S53</f>
        <v>4266.9900037016987</v>
      </c>
      <c r="G46" s="218">
        <f>Calc!O53</f>
        <v>1991737917425052.2</v>
      </c>
      <c r="H46" s="220">
        <f>Calc!X53</f>
        <v>0.63606298180381549</v>
      </c>
      <c r="I46" s="221">
        <f>Calc!Y53</f>
        <v>3.5884133407440961</v>
      </c>
      <c r="J46" s="216"/>
    </row>
    <row r="47" spans="1:10">
      <c r="A47" s="218">
        <f>Calc!A54</f>
        <v>4.5499E-3</v>
      </c>
      <c r="B47" s="218">
        <f>Calc!B54</f>
        <v>1.34453</v>
      </c>
      <c r="C47" s="218">
        <f>Calc!C54</f>
        <v>2.67399E-2</v>
      </c>
      <c r="D47" s="218">
        <f>Calc!I54</f>
        <v>1928587019507919.5</v>
      </c>
      <c r="E47" s="218">
        <f>Calc!P54</f>
        <v>2.3636481052819589E-4</v>
      </c>
      <c r="F47" s="219">
        <f>Calc!S54</f>
        <v>4224.5739305223788</v>
      </c>
      <c r="G47" s="218">
        <f>Calc!O54</f>
        <v>1928587019507919.5</v>
      </c>
      <c r="H47" s="220">
        <f>Calc!X54</f>
        <v>0.63445185795986869</v>
      </c>
      <c r="I47" s="221">
        <f>Calc!Y54</f>
        <v>3.4398169667288969</v>
      </c>
      <c r="J47" s="216"/>
    </row>
    <row r="48" spans="1:10">
      <c r="A48" s="218">
        <f>Calc!A55</f>
        <v>4.6499000000000002E-3</v>
      </c>
      <c r="B48" s="218">
        <f>Calc!B55</f>
        <v>1.30393</v>
      </c>
      <c r="C48" s="218">
        <f>Calc!C55</f>
        <v>2.5214500000000001E-2</v>
      </c>
      <c r="D48" s="218">
        <f>Calc!I55</f>
        <v>1868287424157004</v>
      </c>
      <c r="E48" s="218">
        <f>Calc!P55</f>
        <v>2.4234114910342747E-4</v>
      </c>
      <c r="F48" s="219">
        <f>Calc!S55</f>
        <v>4120.6201430634583</v>
      </c>
      <c r="G48" s="218">
        <f>Calc!O55</f>
        <v>1868287424157004</v>
      </c>
      <c r="H48" s="220">
        <f>Calc!X55</f>
        <v>0.63286480532218192</v>
      </c>
      <c r="I48" s="221">
        <f>Calc!Y55</f>
        <v>3.250090414160824</v>
      </c>
      <c r="J48" s="216"/>
    </row>
    <row r="49" spans="1:10">
      <c r="A49" s="218">
        <f>Calc!A56</f>
        <v>4.7498999999999996E-3</v>
      </c>
      <c r="B49" s="218">
        <f>Calc!B56</f>
        <v>1.2639199999999999</v>
      </c>
      <c r="C49" s="218">
        <f>Calc!C56</f>
        <v>2.3424899999999999E-2</v>
      </c>
      <c r="D49" s="218">
        <f>Calc!I56</f>
        <v>1808986327497433.5</v>
      </c>
      <c r="E49" s="218">
        <f>Calc!P56</f>
        <v>2.5180819826651075E-4</v>
      </c>
      <c r="F49" s="219">
        <f>Calc!S56</f>
        <v>3965.8443419562241</v>
      </c>
      <c r="G49" s="218">
        <f>Calc!O56</f>
        <v>1808986327497433.5</v>
      </c>
      <c r="H49" s="220">
        <f>Calc!X56</f>
        <v>0.63125466893763404</v>
      </c>
      <c r="I49" s="221">
        <f>Calc!Y56</f>
        <v>3.0286168480625677</v>
      </c>
      <c r="J49" s="216"/>
    </row>
    <row r="50" spans="1:10">
      <c r="A50" s="218">
        <f>Calc!A57</f>
        <v>4.8498999999999999E-3</v>
      </c>
      <c r="B50" s="218">
        <f>Calc!B57</f>
        <v>1.2257100000000001</v>
      </c>
      <c r="C50" s="218">
        <f>Calc!C57</f>
        <v>2.2516700000000001E-2</v>
      </c>
      <c r="D50" s="218">
        <f>Calc!I57</f>
        <v>1752466504942248.3</v>
      </c>
      <c r="E50" s="218">
        <f>Calc!P57</f>
        <v>2.5370580591983939E-4</v>
      </c>
      <c r="F50" s="219">
        <f>Calc!S57</f>
        <v>3936.4750886248189</v>
      </c>
      <c r="G50" s="218">
        <f>Calc!O57</f>
        <v>1752466504942248.3</v>
      </c>
      <c r="H50" s="220">
        <f>Calc!X57</f>
        <v>0.62967156714750327</v>
      </c>
      <c r="I50" s="221">
        <f>Calc!Y57</f>
        <v>2.9120460281677603</v>
      </c>
      <c r="J50" s="216"/>
    </row>
    <row r="51" spans="1:10">
      <c r="A51" s="218">
        <f>Calc!A58</f>
        <v>4.9499000000000001E-3</v>
      </c>
      <c r="B51" s="218">
        <f>Calc!B58</f>
        <v>1.1886399999999999</v>
      </c>
      <c r="C51" s="218">
        <f>Calc!C58</f>
        <v>2.1107000000000001E-2</v>
      </c>
      <c r="D51" s="218">
        <f>Calc!I58</f>
        <v>1697738957393044.5</v>
      </c>
      <c r="E51" s="218">
        <f>Calc!P58</f>
        <v>2.6152700058790327E-4</v>
      </c>
      <c r="F51" s="219">
        <f>Calc!S58</f>
        <v>3818.912323904256</v>
      </c>
      <c r="G51" s="218">
        <f>Calc!O58</f>
        <v>1697738957393044.5</v>
      </c>
      <c r="H51" s="220">
        <f>Calc!X58</f>
        <v>0.6280906882623849</v>
      </c>
      <c r="I51" s="221">
        <f>Calc!Y58</f>
        <v>2.7367384666026182</v>
      </c>
      <c r="J51" s="216"/>
    </row>
    <row r="52" spans="1:10">
      <c r="A52" s="218">
        <f>Calc!A59</f>
        <v>5.0499000000000004E-3</v>
      </c>
      <c r="B52" s="218">
        <f>Calc!B59</f>
        <v>1.1530800000000001</v>
      </c>
      <c r="C52" s="218">
        <f>Calc!C59</f>
        <v>1.9729099999999999E-2</v>
      </c>
      <c r="D52" s="218">
        <f>Calc!I59</f>
        <v>1645338890713628</v>
      </c>
      <c r="E52" s="218">
        <f>Calc!P59</f>
        <v>2.7033707982796737E-4</v>
      </c>
      <c r="F52" s="219">
        <f>Calc!S59</f>
        <v>3694.5917506813894</v>
      </c>
      <c r="G52" s="218">
        <f>Calc!O59</f>
        <v>1645338890713628</v>
      </c>
      <c r="H52" s="220">
        <f>Calc!X59</f>
        <v>0.62653000288209904</v>
      </c>
      <c r="I52" s="221">
        <f>Calc!Y59</f>
        <v>2.5658346167413817</v>
      </c>
      <c r="J52" s="216"/>
    </row>
    <row r="53" spans="1:10">
      <c r="A53" s="218">
        <f>Calc!A60</f>
        <v>5.1498999999999998E-3</v>
      </c>
      <c r="B53" s="218">
        <f>Calc!B60</f>
        <v>1.11757</v>
      </c>
      <c r="C53" s="218">
        <f>Calc!C60</f>
        <v>1.8978100000000001E-2</v>
      </c>
      <c r="D53" s="218">
        <f>Calc!I60</f>
        <v>1593108604489832</v>
      </c>
      <c r="E53" s="218">
        <f>Calc!P60</f>
        <v>2.7202508147429038E-4</v>
      </c>
      <c r="F53" s="219">
        <f>Calc!S60</f>
        <v>3671.9185356088174</v>
      </c>
      <c r="G53" s="218">
        <f>Calc!O60</f>
        <v>1593108604489832</v>
      </c>
      <c r="H53" s="220">
        <f>Calc!X60</f>
        <v>0.62492566609192857</v>
      </c>
      <c r="I53" s="221">
        <f>Calc!Y60</f>
        <v>2.4689673646430794</v>
      </c>
      <c r="J53" s="216"/>
    </row>
    <row r="54" spans="1:10">
      <c r="A54" s="218">
        <f>Calc!A61</f>
        <v>5.2499000000000001E-3</v>
      </c>
      <c r="B54" s="218">
        <f>Calc!B61</f>
        <v>1.0839399999999999</v>
      </c>
      <c r="C54" s="218">
        <f>Calc!C61</f>
        <v>1.7658299999999998E-2</v>
      </c>
      <c r="D54" s="218">
        <f>Calc!I61</f>
        <v>1543732199206721.2</v>
      </c>
      <c r="E54" s="218">
        <f>Calc!P61</f>
        <v>2.8234319573068519E-4</v>
      </c>
      <c r="F54" s="219">
        <f>Calc!S61</f>
        <v>3537.8329508269521</v>
      </c>
      <c r="G54" s="218">
        <f>Calc!O61</f>
        <v>1543732199206721.2</v>
      </c>
      <c r="H54" s="220">
        <f>Calc!X61</f>
        <v>0.62336143854597148</v>
      </c>
      <c r="I54" s="221">
        <f>Calc!Y61</f>
        <v>2.3050139171091684</v>
      </c>
      <c r="J54" s="216"/>
    </row>
    <row r="55" spans="1:10">
      <c r="A55" s="218">
        <f>Calc!A62</f>
        <v>5.3499000000000003E-3</v>
      </c>
      <c r="B55" s="218">
        <f>Calc!B62</f>
        <v>1.0517000000000001</v>
      </c>
      <c r="C55" s="218">
        <f>Calc!C62</f>
        <v>1.7036699999999998E-2</v>
      </c>
      <c r="D55" s="218">
        <f>Calc!I62</f>
        <v>1496477716623886.7</v>
      </c>
      <c r="E55" s="218">
        <f>Calc!P62</f>
        <v>2.8367525526285485E-4</v>
      </c>
      <c r="F55" s="219">
        <f>Calc!S62</f>
        <v>3521.4401837524711</v>
      </c>
      <c r="G55" s="218">
        <f>Calc!O62</f>
        <v>1496477716623886.7</v>
      </c>
      <c r="H55" s="220">
        <f>Calc!X62</f>
        <v>0.62181841739310928</v>
      </c>
      <c r="I55" s="221">
        <f>Calc!Y62</f>
        <v>2.2239638066070193</v>
      </c>
      <c r="J55" s="216"/>
    </row>
    <row r="56" spans="1:10">
      <c r="A56" s="218">
        <f>Calc!A63</f>
        <v>5.4498999999999997E-3</v>
      </c>
      <c r="B56" s="218">
        <f>Calc!B63</f>
        <v>1.01989</v>
      </c>
      <c r="C56" s="218">
        <f>Calc!C63</f>
        <v>1.61437E-2</v>
      </c>
      <c r="D56" s="218">
        <f>Calc!I63</f>
        <v>1449931398779417.8</v>
      </c>
      <c r="E56" s="218">
        <f>Calc!P63</f>
        <v>2.8930041102904244E-4</v>
      </c>
      <c r="F56" s="219">
        <f>Calc!S63</f>
        <v>3453.1246953820719</v>
      </c>
      <c r="G56" s="218">
        <f>Calc!O63</f>
        <v>1449931398779417.8</v>
      </c>
      <c r="H56" s="220">
        <f>Calc!X63</f>
        <v>0.62025176408934179</v>
      </c>
      <c r="I56" s="221">
        <f>Calc!Y63</f>
        <v>2.1128920995293221</v>
      </c>
      <c r="J56" s="216"/>
    </row>
    <row r="57" spans="1:10">
      <c r="A57" s="218">
        <f>Calc!A64</f>
        <v>5.5499E-3</v>
      </c>
      <c r="B57" s="218">
        <f>Calc!B64</f>
        <v>0.98896799999999996</v>
      </c>
      <c r="C57" s="218">
        <f>Calc!C64</f>
        <v>1.49996E-2</v>
      </c>
      <c r="D57" s="218">
        <f>Calc!I64</f>
        <v>1404758742900291.5</v>
      </c>
      <c r="E57" s="218">
        <f>Calc!P64</f>
        <v>3.0039578849918886E-4</v>
      </c>
      <c r="F57" s="219">
        <f>Calc!S64</f>
        <v>3325.6657212670284</v>
      </c>
      <c r="G57" s="218">
        <f>Calc!O64</f>
        <v>1404758742900291.5</v>
      </c>
      <c r="H57" s="220">
        <f>Calc!X64</f>
        <v>0.61868419270928499</v>
      </c>
      <c r="I57" s="221">
        <f>Calc!Y64</f>
        <v>1.9714547767040036</v>
      </c>
      <c r="J57" s="216"/>
    </row>
    <row r="58" spans="1:10">
      <c r="A58" s="218">
        <f>Calc!A65</f>
        <v>5.6499000000000002E-3</v>
      </c>
      <c r="B58" s="218">
        <f>Calc!B65</f>
        <v>0.95838199999999996</v>
      </c>
      <c r="C58" s="218">
        <f>Calc!C65</f>
        <v>1.4630499999999999E-2</v>
      </c>
      <c r="D58" s="218">
        <f>Calc!I65</f>
        <v>1360149093226980.5</v>
      </c>
      <c r="E58" s="218">
        <f>Calc!P65</f>
        <v>2.9829446263615188E-4</v>
      </c>
      <c r="F58" s="219">
        <f>Calc!S65</f>
        <v>3349.3210907264702</v>
      </c>
      <c r="G58" s="218">
        <f>Calc!O65</f>
        <v>1360149093226980.5</v>
      </c>
      <c r="H58" s="220">
        <f>Calc!X65</f>
        <v>0.61708768310119377</v>
      </c>
      <c r="I58" s="221">
        <f>Calc!Y65</f>
        <v>1.9222959015708134</v>
      </c>
      <c r="J58" s="216"/>
    </row>
    <row r="59" spans="1:10">
      <c r="A59" s="218">
        <f>Calc!A66</f>
        <v>5.7498999999999996E-3</v>
      </c>
      <c r="B59" s="218">
        <f>Calc!B66</f>
        <v>0.92967100000000003</v>
      </c>
      <c r="C59" s="218">
        <f>Calc!C66</f>
        <v>1.37003E-2</v>
      </c>
      <c r="D59" s="218">
        <f>Calc!I66</f>
        <v>1318339533162401.5</v>
      </c>
      <c r="E59" s="218">
        <f>Calc!P66</f>
        <v>3.0770931541946212E-4</v>
      </c>
      <c r="F59" s="219">
        <f>Calc!S66</f>
        <v>3246.9352540642317</v>
      </c>
      <c r="G59" s="218">
        <f>Calc!O66</f>
        <v>1318339533162401.5</v>
      </c>
      <c r="H59" s="220">
        <f>Calc!X66</f>
        <v>0.61554489080001384</v>
      </c>
      <c r="I59" s="221">
        <f>Calc!Y66</f>
        <v>1.8061987883179582</v>
      </c>
      <c r="J59" s="216"/>
    </row>
    <row r="60" spans="1:10">
      <c r="A60" s="218">
        <f>Calc!A67</f>
        <v>5.8498999999999999E-3</v>
      </c>
      <c r="B60" s="218">
        <f>Calc!B67</f>
        <v>0.90080400000000005</v>
      </c>
      <c r="C60" s="218">
        <f>Calc!C67</f>
        <v>1.27262E-2</v>
      </c>
      <c r="D60" s="218">
        <f>Calc!I67</f>
        <v>1276366761606454.7</v>
      </c>
      <c r="E60" s="218">
        <f>Calc!P67</f>
        <v>3.1950866456273913E-4</v>
      </c>
      <c r="F60" s="219">
        <f>Calc!S67</f>
        <v>3127.1012501200998</v>
      </c>
      <c r="G60" s="218">
        <f>Calc!O67</f>
        <v>1276366761606454.7</v>
      </c>
      <c r="H60" s="220">
        <f>Calc!X67</f>
        <v>0.61394794767680716</v>
      </c>
      <c r="I60" s="221">
        <f>Calc!Y67</f>
        <v>1.6841150663331379</v>
      </c>
      <c r="J60" s="216"/>
    </row>
    <row r="61" spans="1:10">
      <c r="A61" s="218">
        <f>Calc!A68</f>
        <v>5.9499000000000002E-3</v>
      </c>
      <c r="B61" s="218">
        <f>Calc!B68</f>
        <v>0.87327399999999999</v>
      </c>
      <c r="C61" s="218">
        <f>Calc!C68</f>
        <v>1.24098E-2</v>
      </c>
      <c r="D61" s="218">
        <f>Calc!I68</f>
        <v>1236397842097094.7</v>
      </c>
      <c r="E61" s="218">
        <f>Calc!P68</f>
        <v>3.1741451384415372E-4</v>
      </c>
      <c r="F61" s="219">
        <f>Calc!S68</f>
        <v>3147.91694378903</v>
      </c>
      <c r="G61" s="218">
        <f>Calc!O68</f>
        <v>1236397842097094.7</v>
      </c>
      <c r="H61" s="220">
        <f>Calc!X68</f>
        <v>0.6123795884685197</v>
      </c>
      <c r="I61" s="221">
        <f>Calc!Y68</f>
        <v>1.6421407278679201</v>
      </c>
      <c r="J61" s="216"/>
    </row>
    <row r="62" spans="1:10">
      <c r="A62" s="218">
        <f>Calc!A69</f>
        <v>6.0499000000000004E-3</v>
      </c>
      <c r="B62" s="218">
        <f>Calc!B69</f>
        <v>0.84699500000000005</v>
      </c>
      <c r="C62" s="218">
        <f>Calc!C69</f>
        <v>1.1464999999999999E-2</v>
      </c>
      <c r="D62" s="218">
        <f>Calc!I69</f>
        <v>1198299764662150</v>
      </c>
      <c r="E62" s="218">
        <f>Calc!P69</f>
        <v>3.3150533891404766E-4</v>
      </c>
      <c r="F62" s="219">
        <f>Calc!S69</f>
        <v>3014.1590384349856</v>
      </c>
      <c r="G62" s="218">
        <f>Calc!O69</f>
        <v>1198299764662150</v>
      </c>
      <c r="H62" s="220">
        <f>Calc!X69</f>
        <v>0.61083862653100152</v>
      </c>
      <c r="I62" s="221">
        <f>Calc!Y69</f>
        <v>1.5238908521744139</v>
      </c>
      <c r="J62" s="216"/>
    </row>
    <row r="63" spans="1:10">
      <c r="A63" s="218">
        <f>Calc!A70</f>
        <v>6.1498999999999998E-3</v>
      </c>
      <c r="B63" s="218">
        <f>Calc!B70</f>
        <v>0.82034499999999999</v>
      </c>
      <c r="C63" s="218">
        <f>Calc!C70</f>
        <v>1.09581E-2</v>
      </c>
      <c r="D63" s="218">
        <f>Calc!I70</f>
        <v>1159718392552213</v>
      </c>
      <c r="E63" s="218">
        <f>Calc!P70</f>
        <v>3.3520172858392543E-4</v>
      </c>
      <c r="F63" s="219">
        <f>Calc!S70</f>
        <v>2981.0455600933715</v>
      </c>
      <c r="G63" s="218">
        <f>Calc!O70</f>
        <v>1159718392552213</v>
      </c>
      <c r="H63" s="220">
        <f>Calc!X70</f>
        <v>0.60922944677503121</v>
      </c>
      <c r="I63" s="221">
        <f>Calc!Y70</f>
        <v>1.4585630606422988</v>
      </c>
      <c r="J63" s="216"/>
    </row>
    <row r="64" spans="1:10">
      <c r="A64" s="218">
        <f>Calc!A71</f>
        <v>6.2499000000000001E-3</v>
      </c>
      <c r="B64" s="218">
        <f>Calc!B71</f>
        <v>0.795686</v>
      </c>
      <c r="C64" s="218">
        <f>Calc!C71</f>
        <v>1.04698E-2</v>
      </c>
      <c r="D64" s="218">
        <f>Calc!I71</f>
        <v>1124068435231203.9</v>
      </c>
      <c r="E64" s="218">
        <f>Calc!P71</f>
        <v>3.3944497888343335E-4</v>
      </c>
      <c r="F64" s="219">
        <f>Calc!S71</f>
        <v>2943.8880821737084</v>
      </c>
      <c r="G64" s="218">
        <f>Calc!O71</f>
        <v>1124068435231203.9</v>
      </c>
      <c r="H64" s="220">
        <f>Calc!X71</f>
        <v>0.60769625747086853</v>
      </c>
      <c r="I64" s="221">
        <f>Calc!Y71</f>
        <v>1.3960541978073346</v>
      </c>
      <c r="J64" s="216"/>
    </row>
    <row r="65" spans="1:10">
      <c r="A65" s="218">
        <f>Calc!A72</f>
        <v>6.3499000000000003E-3</v>
      </c>
      <c r="B65" s="218">
        <f>Calc!B72</f>
        <v>0.77131099999999997</v>
      </c>
      <c r="C65" s="218">
        <f>Calc!C72</f>
        <v>9.5894599999999993E-3</v>
      </c>
      <c r="D65" s="218">
        <f>Calc!I72</f>
        <v>1088875466666235.9</v>
      </c>
      <c r="E65" s="218">
        <f>Calc!P72</f>
        <v>3.5684773151508124E-4</v>
      </c>
      <c r="F65" s="219">
        <f>Calc!S72</f>
        <v>2800.3475198653255</v>
      </c>
      <c r="G65" s="218">
        <f>Calc!O72</f>
        <v>1088875466666235.9</v>
      </c>
      <c r="H65" s="220">
        <f>Calc!X72</f>
        <v>0.60613636995795139</v>
      </c>
      <c r="I65" s="221">
        <f>Calc!Y72</f>
        <v>1.2863945389352982</v>
      </c>
      <c r="J65" s="216"/>
    </row>
    <row r="66" spans="1:10">
      <c r="A66" s="218">
        <f>Calc!A73</f>
        <v>6.4498999999999997E-3</v>
      </c>
      <c r="B66" s="218">
        <f>Calc!B73</f>
        <v>0.74737600000000004</v>
      </c>
      <c r="C66" s="218">
        <f>Calc!C73</f>
        <v>9.5479599999999994E-3</v>
      </c>
      <c r="D66" s="218">
        <f>Calc!I73</f>
        <v>1054362756301558.5</v>
      </c>
      <c r="E66" s="218">
        <f>Calc!P73</f>
        <v>3.4796038038980453E-4</v>
      </c>
      <c r="F66" s="219">
        <f>Calc!S73</f>
        <v>2872.0450190821198</v>
      </c>
      <c r="G66" s="218">
        <f>Calc!O73</f>
        <v>1054362756301558.5</v>
      </c>
      <c r="H66" s="220">
        <f>Calc!X73</f>
        <v>0.60455910088659326</v>
      </c>
      <c r="I66" s="221">
        <f>Calc!Y73</f>
        <v>1.2774360703023944</v>
      </c>
      <c r="J66" s="216"/>
    </row>
    <row r="67" spans="1:10">
      <c r="A67" s="218">
        <f>Calc!A74</f>
        <v>6.5499E-3</v>
      </c>
      <c r="B67" s="218">
        <f>Calc!B74</f>
        <v>0.72430000000000005</v>
      </c>
      <c r="C67" s="218">
        <f>Calc!C74</f>
        <v>8.8995199999999993E-3</v>
      </c>
      <c r="D67" s="218">
        <f>Calc!I74</f>
        <v>1021130950439912.6</v>
      </c>
      <c r="E67" s="218">
        <f>Calc!P74</f>
        <v>3.5994775964603027E-4</v>
      </c>
      <c r="F67" s="219">
        <f>Calc!S74</f>
        <v>2776.4500294565883</v>
      </c>
      <c r="G67" s="218">
        <f>Calc!O74</f>
        <v>1021130950439912.6</v>
      </c>
      <c r="H67" s="220">
        <f>Calc!X74</f>
        <v>0.60299307628746024</v>
      </c>
      <c r="I67" s="221">
        <f>Calc!Y74</f>
        <v>1.1959716366483613</v>
      </c>
      <c r="J67" s="216"/>
    </row>
    <row r="68" spans="1:10">
      <c r="A68" s="218">
        <f>Calc!A75</f>
        <v>6.6499000000000003E-3</v>
      </c>
      <c r="B68" s="218">
        <f>Calc!B75</f>
        <v>0.70215099999999997</v>
      </c>
      <c r="C68" s="218">
        <f>Calc!C75</f>
        <v>8.2081199999999993E-3</v>
      </c>
      <c r="D68" s="218">
        <f>Calc!I75</f>
        <v>989273239742595.87</v>
      </c>
      <c r="E68" s="218">
        <f>Calc!P75</f>
        <v>3.7595734344399471E-4</v>
      </c>
      <c r="F68" s="219">
        <f>Calc!S75</f>
        <v>2658.2516483261279</v>
      </c>
      <c r="G68" s="218">
        <f>Calc!O75</f>
        <v>989273239742595.87</v>
      </c>
      <c r="H68" s="220">
        <f>Calc!X75</f>
        <v>0.60144549472845532</v>
      </c>
      <c r="I68" s="221">
        <f>Calc!Y75</f>
        <v>1.1093193904657936</v>
      </c>
      <c r="J68" s="216"/>
    </row>
    <row r="69" spans="1:10">
      <c r="A69" s="218">
        <f>Calc!A76</f>
        <v>6.7498999999999997E-3</v>
      </c>
      <c r="B69" s="218">
        <f>Calc!B76</f>
        <v>0.68033500000000002</v>
      </c>
      <c r="C69" s="218">
        <f>Calc!C76</f>
        <v>8.2701300000000005E-3</v>
      </c>
      <c r="D69" s="218">
        <f>Calc!I76</f>
        <v>957932029709215.12</v>
      </c>
      <c r="E69" s="218">
        <f>Calc!P76</f>
        <v>3.629586740545674E-4</v>
      </c>
      <c r="F69" s="219">
        <f>Calc!S76</f>
        <v>2753.6113244703429</v>
      </c>
      <c r="G69" s="218">
        <f>Calc!O76</f>
        <v>957932029709215.12</v>
      </c>
      <c r="H69" s="220">
        <f>Calc!X76</f>
        <v>0.59987598074506665</v>
      </c>
      <c r="I69" s="221">
        <f>Calc!Y76</f>
        <v>1.1126445119054844</v>
      </c>
      <c r="J69" s="216"/>
    </row>
    <row r="70" spans="1:10">
      <c r="A70" s="218">
        <f>Calc!A77</f>
        <v>6.8498999999999999E-3</v>
      </c>
      <c r="B70" s="218">
        <f>Calc!B77</f>
        <v>0.6593</v>
      </c>
      <c r="C70" s="218">
        <f>Calc!C77</f>
        <v>7.6744200000000004E-3</v>
      </c>
      <c r="D70" s="218">
        <f>Calc!I77</f>
        <v>927748163589670.12</v>
      </c>
      <c r="E70" s="218">
        <f>Calc!P77</f>
        <v>3.7682161688545114E-4</v>
      </c>
      <c r="F70" s="219">
        <f>Calc!S77</f>
        <v>2652.3467773312777</v>
      </c>
      <c r="G70" s="218">
        <f>Calc!O77</f>
        <v>927748163589670.12</v>
      </c>
      <c r="H70" s="220">
        <f>Calc!X77</f>
        <v>0.59831756365961875</v>
      </c>
      <c r="I70" s="221">
        <f>Calc!Y77</f>
        <v>1.0379422960440563</v>
      </c>
      <c r="J70" s="216"/>
    </row>
    <row r="71" spans="1:10">
      <c r="A71" s="218">
        <f>Calc!A78</f>
        <v>6.9499000000000002E-3</v>
      </c>
      <c r="B71" s="218">
        <f>Calc!B78</f>
        <v>0.63888</v>
      </c>
      <c r="C71" s="218">
        <f>Calc!C78</f>
        <v>7.1275499999999999E-3</v>
      </c>
      <c r="D71" s="218">
        <f>Calc!I78</f>
        <v>898480048585541.12</v>
      </c>
      <c r="E71" s="218">
        <f>Calc!P78</f>
        <v>3.9085787870661766E-4</v>
      </c>
      <c r="F71" s="219">
        <f>Calc!S78</f>
        <v>2557.134653216237</v>
      </c>
      <c r="G71" s="218">
        <f>Calc!O78</f>
        <v>898480048585541.12</v>
      </c>
      <c r="H71" s="220">
        <f>Calc!X78</f>
        <v>0.59675974953765532</v>
      </c>
      <c r="I71" s="221">
        <f>Calc!Y78</f>
        <v>0.96909975146883764</v>
      </c>
      <c r="J71" s="216"/>
    </row>
    <row r="72" spans="1:10">
      <c r="A72" s="218">
        <f>Calc!A79</f>
        <v>7.0498999999999996E-3</v>
      </c>
      <c r="B72" s="218">
        <f>Calc!B79</f>
        <v>0.61911400000000005</v>
      </c>
      <c r="C72" s="218">
        <f>Calc!C79</f>
        <v>7.0225699999999997E-3</v>
      </c>
      <c r="D72" s="218">
        <f>Calc!I79</f>
        <v>870180597539535.87</v>
      </c>
      <c r="E72" s="218">
        <f>Calc!P79</f>
        <v>3.8479608960384081E-4</v>
      </c>
      <c r="F72" s="219">
        <f>Calc!S79</f>
        <v>2597.5220322482869</v>
      </c>
      <c r="G72" s="218">
        <f>Calc!O79</f>
        <v>870180597539535.87</v>
      </c>
      <c r="H72" s="220">
        <f>Calc!X79</f>
        <v>0.59520704281464842</v>
      </c>
      <c r="I72" s="221">
        <f>Calc!Y79</f>
        <v>0.9533616121432632</v>
      </c>
      <c r="J72" s="216"/>
    </row>
    <row r="73" spans="1:10">
      <c r="A73" s="218">
        <f>Calc!A80</f>
        <v>7.1498999999999998E-3</v>
      </c>
      <c r="B73" s="218">
        <f>Calc!B80</f>
        <v>0.59970999999999997</v>
      </c>
      <c r="C73" s="218">
        <f>Calc!C80</f>
        <v>6.3843900000000002E-3</v>
      </c>
      <c r="D73" s="218">
        <f>Calc!I80</f>
        <v>842429428213472.37</v>
      </c>
      <c r="E73" s="218">
        <f>Calc!P80</f>
        <v>4.0646108212557733E-4</v>
      </c>
      <c r="F73" s="219">
        <f>Calc!S80</f>
        <v>2459.082061928917</v>
      </c>
      <c r="G73" s="218">
        <f>Calc!O80</f>
        <v>842429428213472.37</v>
      </c>
      <c r="H73" s="220">
        <f>Calc!X80</f>
        <v>0.59363727197524818</v>
      </c>
      <c r="I73" s="221">
        <f>Calc!Y80</f>
        <v>0.87376264837254891</v>
      </c>
      <c r="J73" s="216"/>
    </row>
    <row r="74" spans="1:10">
      <c r="A74" s="218">
        <f>Calc!A81</f>
        <v>7.2499000000000001E-3</v>
      </c>
      <c r="B74" s="218">
        <f>Calc!B81</f>
        <v>0.58075500000000002</v>
      </c>
      <c r="C74" s="218">
        <f>Calc!C81</f>
        <v>6.3072400000000004E-3</v>
      </c>
      <c r="D74" s="218">
        <f>Calc!I81</f>
        <v>815349169601617.62</v>
      </c>
      <c r="E74" s="218">
        <f>Calc!P81</f>
        <v>3.9916592773873186E-4</v>
      </c>
      <c r="F74" s="219">
        <f>Calc!S81</f>
        <v>2504.1202858064844</v>
      </c>
      <c r="G74" s="218">
        <f>Calc!O81</f>
        <v>815349169601617.62</v>
      </c>
      <c r="H74" s="220">
        <f>Calc!X81</f>
        <v>0.59205759286185478</v>
      </c>
      <c r="I74" s="221">
        <f>Calc!Y81</f>
        <v>0.86113072477306285</v>
      </c>
      <c r="J74" s="216"/>
    </row>
    <row r="75" spans="1:10">
      <c r="A75" s="218">
        <f>Calc!A82</f>
        <v>7.3499000000000004E-3</v>
      </c>
      <c r="B75" s="218">
        <f>Calc!B82</f>
        <v>0.562913</v>
      </c>
      <c r="C75" s="218">
        <f>Calc!C82</f>
        <v>5.9962000000000001E-3</v>
      </c>
      <c r="D75" s="218">
        <f>Calc!I82</f>
        <v>789885038373114.25</v>
      </c>
      <c r="E75" s="218">
        <f>Calc!P82</f>
        <v>4.0543951446203884E-4</v>
      </c>
      <c r="F75" s="219">
        <f>Calc!S82</f>
        <v>2465.4234449655437</v>
      </c>
      <c r="G75" s="218">
        <f>Calc!O82</f>
        <v>789885038373114.25</v>
      </c>
      <c r="H75" s="220">
        <f>Calc!X82</f>
        <v>0.59052633966714008</v>
      </c>
      <c r="I75" s="221">
        <f>Calc!Y82</f>
        <v>0.82132819111438871</v>
      </c>
      <c r="J75" s="216"/>
    </row>
    <row r="76" spans="1:10">
      <c r="A76" s="218">
        <f>Calc!A83</f>
        <v>7.4498999999999998E-3</v>
      </c>
      <c r="B76" s="218">
        <f>Calc!B83</f>
        <v>0.54513999999999996</v>
      </c>
      <c r="C76" s="218">
        <f>Calc!C83</f>
        <v>5.3941500000000003E-3</v>
      </c>
      <c r="D76" s="218">
        <f>Calc!I83</f>
        <v>764544536336321.25</v>
      </c>
      <c r="E76" s="218">
        <f>Calc!P83</f>
        <v>4.318068225917507E-4</v>
      </c>
      <c r="F76" s="219">
        <f>Calc!S83</f>
        <v>2314.8800764073035</v>
      </c>
      <c r="G76" s="218">
        <f>Calc!O83</f>
        <v>764544536336321.25</v>
      </c>
      <c r="H76" s="220">
        <f>Calc!X83</f>
        <v>0.58895561940908803</v>
      </c>
      <c r="I76" s="221">
        <f>Calc!Y83</f>
        <v>0.74643535947479833</v>
      </c>
      <c r="J76" s="216"/>
    </row>
    <row r="77" spans="1:10">
      <c r="A77" s="218">
        <f>Calc!A84</f>
        <v>7.5499E-3</v>
      </c>
      <c r="B77" s="218">
        <f>Calc!B84</f>
        <v>0.52739499999999995</v>
      </c>
      <c r="C77" s="218">
        <f>Calc!C84</f>
        <v>5.5386799999999998E-3</v>
      </c>
      <c r="D77" s="218">
        <f>Calc!I84</f>
        <v>739269059207523.62</v>
      </c>
      <c r="E77" s="218">
        <f>Calc!P84</f>
        <v>4.0938110149999244E-4</v>
      </c>
      <c r="F77" s="219">
        <f>Calc!S84</f>
        <v>2441.804463272385</v>
      </c>
      <c r="G77" s="218">
        <f>Calc!O84</f>
        <v>739269059207523.62</v>
      </c>
      <c r="H77" s="220">
        <f>Calc!X84</f>
        <v>0.58733935353177635</v>
      </c>
      <c r="I77" s="221">
        <f>Calc!Y84</f>
        <v>0.76129618749085448</v>
      </c>
      <c r="J77" s="216"/>
    </row>
    <row r="78" spans="1:10">
      <c r="A78" s="218">
        <f>Calc!A85</f>
        <v>7.6499000000000003E-3</v>
      </c>
      <c r="B78" s="218">
        <f>Calc!B85</f>
        <v>0.51105800000000001</v>
      </c>
      <c r="C78" s="218">
        <f>Calc!C85</f>
        <v>5.1377999999999997E-3</v>
      </c>
      <c r="D78" s="218">
        <f>Calc!I85</f>
        <v>716021326909982.25</v>
      </c>
      <c r="E78" s="218">
        <f>Calc!P85</f>
        <v>4.2495166415825516E-4</v>
      </c>
      <c r="F78" s="219">
        <f>Calc!S85</f>
        <v>2352.3577505276598</v>
      </c>
      <c r="G78" s="218">
        <f>Calc!O85</f>
        <v>716021326909982.25</v>
      </c>
      <c r="H78" s="220">
        <f>Calc!X85</f>
        <v>0.58580625249519458</v>
      </c>
      <c r="I78" s="221">
        <f>Calc!Y85</f>
        <v>0.71033847552985641</v>
      </c>
      <c r="J78" s="216"/>
    </row>
    <row r="79" spans="1:10">
      <c r="A79" s="218">
        <f>Calc!A86</f>
        <v>7.7498999999999997E-3</v>
      </c>
      <c r="B79" s="218">
        <f>Calc!B86</f>
        <v>0.49434899999999998</v>
      </c>
      <c r="C79" s="218">
        <f>Calc!C86</f>
        <v>4.6993299999999998E-3</v>
      </c>
      <c r="D79" s="218">
        <f>Calc!I86</f>
        <v>692266332516810.37</v>
      </c>
      <c r="E79" s="218">
        <f>Calc!P86</f>
        <v>4.4541727125069528E-4</v>
      </c>
      <c r="F79" s="219">
        <f>Calc!S86</f>
        <v>2244.2902945045757</v>
      </c>
      <c r="G79" s="218">
        <f>Calc!O86</f>
        <v>692266332516810.37</v>
      </c>
      <c r="H79" s="220">
        <f>Calc!X86</f>
        <v>0.58419070662778227</v>
      </c>
      <c r="I79" s="221">
        <f>Calc!Y86</f>
        <v>0.65521687325136202</v>
      </c>
      <c r="J79" s="216"/>
    </row>
    <row r="80" spans="1:10">
      <c r="A80" s="218">
        <f>Calc!A87</f>
        <v>7.8498999999999999E-3</v>
      </c>
      <c r="B80" s="218">
        <f>Calc!B87</f>
        <v>0.47872399999999998</v>
      </c>
      <c r="C80" s="218">
        <f>Calc!C87</f>
        <v>4.8077299999999996E-3</v>
      </c>
      <c r="D80" s="218">
        <f>Calc!I87</f>
        <v>670072716891285.62</v>
      </c>
      <c r="E80" s="218">
        <f>Calc!P87</f>
        <v>4.2387256064575838E-4</v>
      </c>
      <c r="F80" s="219">
        <f>Calc!S87</f>
        <v>2358.4543219777624</v>
      </c>
      <c r="G80" s="218">
        <f>Calc!O87</f>
        <v>670072716891285.62</v>
      </c>
      <c r="H80" s="220">
        <f>Calc!X87</f>
        <v>0.58263375415853114</v>
      </c>
      <c r="I80" s="221">
        <f>Calc!Y87</f>
        <v>0.66644689200207385</v>
      </c>
      <c r="J80" s="216"/>
    </row>
    <row r="81" spans="1:10">
      <c r="A81" s="218">
        <f>Calc!A88</f>
        <v>7.9498999999999993E-3</v>
      </c>
      <c r="B81" s="218">
        <f>Calc!B88</f>
        <v>0.46304000000000001</v>
      </c>
      <c r="C81" s="218">
        <f>Calc!C88</f>
        <v>4.1441500000000001E-3</v>
      </c>
      <c r="D81" s="218">
        <f>Calc!I88</f>
        <v>647815047428276.62</v>
      </c>
      <c r="E81" s="218">
        <f>Calc!P88</f>
        <v>4.6707437867606321E-4</v>
      </c>
      <c r="F81" s="219">
        <f>Calc!S88</f>
        <v>2140.2899872862608</v>
      </c>
      <c r="G81" s="218">
        <f>Calc!O88</f>
        <v>647815047428276.62</v>
      </c>
      <c r="H81" s="220">
        <f>Calc!X88</f>
        <v>0.58102314126138288</v>
      </c>
      <c r="I81" s="221">
        <f>Calc!Y88</f>
        <v>0.58471455137051564</v>
      </c>
      <c r="J81" s="216"/>
    </row>
    <row r="82" spans="1:10">
      <c r="A82" s="218">
        <f>Calc!A89</f>
        <v>8.0499000000000005E-3</v>
      </c>
      <c r="B82" s="218">
        <f>Calc!B89</f>
        <v>0.44750299999999998</v>
      </c>
      <c r="C82" s="218">
        <f>Calc!C89</f>
        <v>4.4034299999999998E-3</v>
      </c>
      <c r="D82" s="218">
        <f>Calc!I89</f>
        <v>625785549285674.75</v>
      </c>
      <c r="E82" s="218">
        <f>Calc!P89</f>
        <v>4.3066588917049222E-4</v>
      </c>
      <c r="F82" s="219">
        <f>Calc!S89</f>
        <v>2321.3355475636536</v>
      </c>
      <c r="G82" s="218">
        <f>Calc!O89</f>
        <v>625785549285674.75</v>
      </c>
      <c r="H82" s="220">
        <f>Calc!X89</f>
        <v>0.57937739344696393</v>
      </c>
      <c r="I82" s="221">
        <f>Calc!Y89</f>
        <v>0.6125816317943481</v>
      </c>
      <c r="J82" s="216"/>
    </row>
    <row r="83" spans="1:10">
      <c r="A83" s="218">
        <f>Calc!A90</f>
        <v>8.1498999999999999E-3</v>
      </c>
      <c r="B83" s="218">
        <f>Calc!B90</f>
        <v>0.43304999999999999</v>
      </c>
      <c r="C83" s="218">
        <f>Calc!C90</f>
        <v>4.1426900000000001E-3</v>
      </c>
      <c r="D83" s="218">
        <f>Calc!I90</f>
        <v>605310548051345</v>
      </c>
      <c r="E83" s="218">
        <f>Calc!P90</f>
        <v>4.4102676911612519E-4</v>
      </c>
      <c r="F83" s="219">
        <f>Calc!S90</f>
        <v>2266.8278352097973</v>
      </c>
      <c r="G83" s="218">
        <f>Calc!O90</f>
        <v>605310548051345</v>
      </c>
      <c r="H83" s="220">
        <f>Calc!X90</f>
        <v>0.57779868514935206</v>
      </c>
      <c r="I83" s="221">
        <f>Calc!Y90</f>
        <v>0.57861835504886538</v>
      </c>
      <c r="J83" s="216"/>
    </row>
    <row r="84" spans="1:10">
      <c r="A84" s="218">
        <f>Calc!A91</f>
        <v>8.2498999999999992E-3</v>
      </c>
      <c r="B84" s="218">
        <f>Calc!B91</f>
        <v>0.41922199999999998</v>
      </c>
      <c r="C84" s="218">
        <f>Calc!C91</f>
        <v>3.63927E-3</v>
      </c>
      <c r="D84" s="218">
        <f>Calc!I91</f>
        <v>585736810058109.62</v>
      </c>
      <c r="E84" s="218">
        <f>Calc!P91</f>
        <v>4.7889932695896421E-4</v>
      </c>
      <c r="F84" s="219">
        <f>Calc!S91</f>
        <v>2087.5520143271865</v>
      </c>
      <c r="G84" s="218">
        <f>Calc!O91</f>
        <v>585736810058109.62</v>
      </c>
      <c r="H84" s="220">
        <f>Calc!X91</f>
        <v>0.57624237894500518</v>
      </c>
      <c r="I84" s="221">
        <f>Calc!Y91</f>
        <v>0.51562884706328671</v>
      </c>
      <c r="J84" s="216"/>
    </row>
    <row r="85" spans="1:10">
      <c r="A85" s="218">
        <f>Calc!A92</f>
        <v>8.3499000000000004E-3</v>
      </c>
      <c r="B85" s="218">
        <f>Calc!B92</f>
        <v>0.40510099999999999</v>
      </c>
      <c r="C85" s="218">
        <f>Calc!C92</f>
        <v>3.9156399999999997E-3</v>
      </c>
      <c r="D85" s="218">
        <f>Calc!I92</f>
        <v>565764364024041.25</v>
      </c>
      <c r="E85" s="218">
        <f>Calc!P92</f>
        <v>4.357844989542612E-4</v>
      </c>
      <c r="F85" s="219">
        <f>Calc!S92</f>
        <v>2294.1808372307</v>
      </c>
      <c r="G85" s="218">
        <f>Calc!O92</f>
        <v>565764364024041.25</v>
      </c>
      <c r="H85" s="220">
        <f>Calc!X92</f>
        <v>0.5746038497825714</v>
      </c>
      <c r="I85" s="221">
        <f>Calc!Y92</f>
        <v>0.54732177398731519</v>
      </c>
      <c r="J85" s="216"/>
    </row>
    <row r="86" spans="1:10">
      <c r="A86" s="218">
        <f>Calc!A93</f>
        <v>8.4498999999999998E-3</v>
      </c>
      <c r="B86" s="218">
        <f>Calc!B93</f>
        <v>0.39196599999999998</v>
      </c>
      <c r="C86" s="218">
        <f>Calc!C93</f>
        <v>3.5450299999999998E-3</v>
      </c>
      <c r="D86" s="218">
        <f>Calc!I93</f>
        <v>547201082126506.75</v>
      </c>
      <c r="E86" s="218">
        <f>Calc!P93</f>
        <v>4.6031405639033741E-4</v>
      </c>
      <c r="F86" s="219">
        <f>Calc!S93</f>
        <v>2171.9328054732687</v>
      </c>
      <c r="G86" s="218">
        <f>Calc!O93</f>
        <v>547201082126506.75</v>
      </c>
      <c r="H86" s="220">
        <f>Calc!X93</f>
        <v>0.57303220503498165</v>
      </c>
      <c r="I86" s="221">
        <f>Calc!Y93</f>
        <v>0.5011544900686985</v>
      </c>
      <c r="J86" s="216"/>
    </row>
    <row r="87" spans="1:10">
      <c r="A87" s="218">
        <f>Calc!A94</f>
        <v>8.5498999999999992E-3</v>
      </c>
      <c r="B87" s="218">
        <f>Calc!B94</f>
        <v>0.37808900000000001</v>
      </c>
      <c r="C87" s="218">
        <f>Calc!C94</f>
        <v>3.2134899999999998E-3</v>
      </c>
      <c r="D87" s="218">
        <f>Calc!I94</f>
        <v>527604469491761.62</v>
      </c>
      <c r="E87" s="218">
        <f>Calc!P94</f>
        <v>4.8423379936473064E-4</v>
      </c>
      <c r="F87" s="219">
        <f>Calc!S94</f>
        <v>2064.6560453111483</v>
      </c>
      <c r="G87" s="218">
        <f>Calc!O94</f>
        <v>527604469491761.62</v>
      </c>
      <c r="H87" s="220">
        <f>Calc!X94</f>
        <v>0.57131872471955114</v>
      </c>
      <c r="I87" s="221">
        <f>Calc!Y94</f>
        <v>0.45933790075582176</v>
      </c>
      <c r="J87" s="216"/>
    </row>
    <row r="88" spans="1:10">
      <c r="A88" s="218">
        <f>Calc!A95</f>
        <v>8.6499000000000003E-3</v>
      </c>
      <c r="B88" s="218">
        <f>Calc!B95</f>
        <v>0.36585200000000001</v>
      </c>
      <c r="C88" s="218">
        <f>Calc!C95</f>
        <v>3.4610499999999998E-3</v>
      </c>
      <c r="D88" s="218">
        <f>Calc!I95</f>
        <v>510336898699577.94</v>
      </c>
      <c r="E88" s="218">
        <f>Calc!P95</f>
        <v>4.4177504283505759E-4</v>
      </c>
      <c r="F88" s="219">
        <f>Calc!S95</f>
        <v>2263.1631656977402</v>
      </c>
      <c r="G88" s="218">
        <f>Calc!O95</f>
        <v>510336898699577.94</v>
      </c>
      <c r="H88" s="220">
        <f>Calc!X95</f>
        <v>0.56975957104871877</v>
      </c>
      <c r="I88" s="221">
        <f>Calc!Y95</f>
        <v>0.48700644376907604</v>
      </c>
      <c r="J88" s="216"/>
    </row>
    <row r="89" spans="1:10">
      <c r="A89" s="218">
        <f>Calc!A96</f>
        <v>8.7498999999999997E-3</v>
      </c>
      <c r="B89" s="218">
        <f>Calc!B96</f>
        <v>0.35324499999999998</v>
      </c>
      <c r="C89" s="218">
        <f>Calc!C96</f>
        <v>2.9673899999999999E-3</v>
      </c>
      <c r="D89" s="218">
        <f>Calc!I96</f>
        <v>492560090053309</v>
      </c>
      <c r="E89" s="218">
        <f>Calc!P96</f>
        <v>4.8824087571425374E-4</v>
      </c>
      <c r="F89" s="219">
        <f>Calc!S96</f>
        <v>2047.7666143974266</v>
      </c>
      <c r="G89" s="218">
        <f>Calc!O96</f>
        <v>492560090053309</v>
      </c>
      <c r="H89" s="220">
        <f>Calc!X96</f>
        <v>0.56810292013515873</v>
      </c>
      <c r="I89" s="221">
        <f>Calc!Y96</f>
        <v>0.42530843812818941</v>
      </c>
      <c r="J89" s="216"/>
    </row>
    <row r="90" spans="1:10">
      <c r="A90" s="218">
        <f>Calc!A97</f>
        <v>8.8499000000000008E-3</v>
      </c>
      <c r="B90" s="218">
        <f>Calc!B97</f>
        <v>0.34091100000000002</v>
      </c>
      <c r="C90" s="218">
        <f>Calc!C97</f>
        <v>3.0821400000000001E-3</v>
      </c>
      <c r="D90" s="218">
        <f>Calc!I97</f>
        <v>475180905095689</v>
      </c>
      <c r="E90" s="218">
        <f>Calc!P97</f>
        <v>4.5833442334333973E-4</v>
      </c>
      <c r="F90" s="219">
        <f>Calc!S97</f>
        <v>2181.4381701808952</v>
      </c>
      <c r="G90" s="218">
        <f>Calc!O97</f>
        <v>475180905095689</v>
      </c>
      <c r="H90" s="220">
        <f>Calc!X97</f>
        <v>0.56642942438428812</v>
      </c>
      <c r="I90" s="221">
        <f>Calc!Y97</f>
        <v>0.43707444952208874</v>
      </c>
      <c r="J90" s="216"/>
    </row>
    <row r="91" spans="1:10">
      <c r="A91" s="218">
        <f>Calc!A98</f>
        <v>8.9499000000000002E-3</v>
      </c>
      <c r="B91" s="218">
        <f>Calc!B98</f>
        <v>0.32956299999999999</v>
      </c>
      <c r="C91" s="218">
        <f>Calc!C98</f>
        <v>3.0552800000000001E-3</v>
      </c>
      <c r="D91" s="218">
        <f>Calc!I98</f>
        <v>459202143652602.69</v>
      </c>
      <c r="E91" s="218">
        <f>Calc!P98</f>
        <v>4.4870879251229155E-4</v>
      </c>
      <c r="F91" s="219">
        <f>Calc!S98</f>
        <v>2228.2668655045563</v>
      </c>
      <c r="G91" s="218">
        <f>Calc!O98</f>
        <v>459202143652602.69</v>
      </c>
      <c r="H91" s="220">
        <f>Calc!X98</f>
        <v>0.56484059119335694</v>
      </c>
      <c r="I91" s="221">
        <f>Calc!Y98</f>
        <v>0.4314378491816242</v>
      </c>
      <c r="J91" s="216"/>
    </row>
    <row r="92" spans="1:10">
      <c r="A92" s="218">
        <f>Calc!A99</f>
        <v>9.0498999999999996E-3</v>
      </c>
      <c r="B92" s="218">
        <f>Calc!B99</f>
        <v>0.31823499999999999</v>
      </c>
      <c r="C92" s="218">
        <f>Calc!C99</f>
        <v>2.3795000000000001E-3</v>
      </c>
      <c r="D92" s="218">
        <f>Calc!I99</f>
        <v>443262186820079</v>
      </c>
      <c r="E92" s="218">
        <f>Calc!P99</f>
        <v>5.3584513765796008E-4</v>
      </c>
      <c r="F92" s="219">
        <f>Calc!S99</f>
        <v>1865.8846726113557</v>
      </c>
      <c r="G92" s="218">
        <f>Calc!O99</f>
        <v>443262186820079</v>
      </c>
      <c r="H92" s="220">
        <f>Calc!X99</f>
        <v>0.56320449371506487</v>
      </c>
      <c r="I92" s="221">
        <f>Calc!Y99</f>
        <v>0.34873882955174995</v>
      </c>
      <c r="J92" s="216"/>
    </row>
    <row r="93" spans="1:10">
      <c r="A93" s="218">
        <f>Calc!A100</f>
        <v>9.1499000000000007E-3</v>
      </c>
      <c r="B93" s="218">
        <f>Calc!B100</f>
        <v>0.30714200000000003</v>
      </c>
      <c r="C93" s="218">
        <f>Calc!C100</f>
        <v>2.9478600000000001E-3</v>
      </c>
      <c r="D93" s="218">
        <f>Calc!I100</f>
        <v>427663240158095.31</v>
      </c>
      <c r="E93" s="218">
        <f>Calc!P100</f>
        <v>4.3493501649948446E-4</v>
      </c>
      <c r="F93" s="219">
        <f>Calc!S100</f>
        <v>2298.890438129466</v>
      </c>
      <c r="G93" s="218">
        <f>Calc!O100</f>
        <v>427663240158095.31</v>
      </c>
      <c r="H93" s="220">
        <f>Calc!X100</f>
        <v>0.5615506549564</v>
      </c>
      <c r="I93" s="221">
        <f>Calc!Y100</f>
        <v>0.41453047415011202</v>
      </c>
      <c r="J93" s="216"/>
    </row>
    <row r="94" spans="1:10">
      <c r="A94" s="218">
        <f>Calc!A101</f>
        <v>9.2499000000000001E-3</v>
      </c>
      <c r="B94" s="218">
        <f>Calc!B101</f>
        <v>0.296624</v>
      </c>
      <c r="C94" s="218">
        <f>Calc!C101</f>
        <v>2.71886E-3</v>
      </c>
      <c r="D94" s="218">
        <f>Calc!I101</f>
        <v>412882329625965.69</v>
      </c>
      <c r="E94" s="218">
        <f>Calc!P101</f>
        <v>4.5095710536789197E-4</v>
      </c>
      <c r="F94" s="219">
        <f>Calc!S101</f>
        <v>2217.2228240896902</v>
      </c>
      <c r="G94" s="218">
        <f>Calc!O101</f>
        <v>412882329625965.69</v>
      </c>
      <c r="H94" s="220">
        <f>Calc!X101</f>
        <v>0.55993215772368254</v>
      </c>
      <c r="I94" s="221">
        <f>Calc!Y101</f>
        <v>0.38598459995155293</v>
      </c>
      <c r="J94" s="216"/>
    </row>
    <row r="95" spans="1:10">
      <c r="A95" s="218">
        <f>Calc!A102</f>
        <v>9.3498999999999995E-3</v>
      </c>
      <c r="B95" s="218">
        <f>Calc!B102</f>
        <v>0.28634100000000001</v>
      </c>
      <c r="C95" s="218">
        <f>Calc!C102</f>
        <v>2.3174900000000002E-3</v>
      </c>
      <c r="D95" s="218">
        <f>Calc!I102</f>
        <v>398440603892279.87</v>
      </c>
      <c r="E95" s="218">
        <f>Calc!P102</f>
        <v>4.9907517264644768E-4</v>
      </c>
      <c r="F95" s="219">
        <f>Calc!S102</f>
        <v>2003.442631380276</v>
      </c>
      <c r="G95" s="218">
        <f>Calc!O102</f>
        <v>398440603892279.87</v>
      </c>
      <c r="H95" s="220">
        <f>Calc!X102</f>
        <v>0.55829924212077353</v>
      </c>
      <c r="I95" s="221">
        <f>Calc!Y102</f>
        <v>0.33657088066919488</v>
      </c>
      <c r="J95" s="216"/>
    </row>
    <row r="96" spans="1:10">
      <c r="A96" s="218">
        <f>Calc!A103</f>
        <v>9.4499000000000007E-3</v>
      </c>
      <c r="B96" s="218">
        <f>Calc!B103</f>
        <v>0.27568599999999999</v>
      </c>
      <c r="C96" s="218">
        <f>Calc!C103</f>
        <v>2.6656399999999999E-3</v>
      </c>
      <c r="D96" s="218">
        <f>Calc!I103</f>
        <v>383485783775520.37</v>
      </c>
      <c r="E96" s="218">
        <f>Calc!P103</f>
        <v>4.3015229075739174E-4</v>
      </c>
      <c r="F96" s="219">
        <f>Calc!S103</f>
        <v>2324.5139266209717</v>
      </c>
      <c r="G96" s="218">
        <f>Calc!O103</f>
        <v>383485783775520.37</v>
      </c>
      <c r="H96" s="220">
        <f>Calc!X103</f>
        <v>0.55655089768775456</v>
      </c>
      <c r="I96" s="221">
        <f>Calc!Y103</f>
        <v>0.37584254815934559</v>
      </c>
      <c r="J96" s="216"/>
    </row>
    <row r="97" spans="1:10">
      <c r="A97" s="218">
        <f>Calc!A104</f>
        <v>9.5499000000000001E-3</v>
      </c>
      <c r="B97" s="218">
        <f>Calc!B104</f>
        <v>0.26605800000000002</v>
      </c>
      <c r="C97" s="218">
        <f>Calc!C104</f>
        <v>2.19542E-3</v>
      </c>
      <c r="D97" s="218">
        <f>Calc!I104</f>
        <v>369980620623459.94</v>
      </c>
      <c r="E97" s="218">
        <f>Calc!P104</f>
        <v>4.902933592460417E-4</v>
      </c>
      <c r="F97" s="219">
        <f>Calc!S104</f>
        <v>2039.368006293153</v>
      </c>
      <c r="G97" s="218">
        <f>Calc!O104</f>
        <v>369980620623459.94</v>
      </c>
      <c r="H97" s="220">
        <f>Calc!X104</f>
        <v>0.5549183538317547</v>
      </c>
      <c r="I97" s="221">
        <f>Calc!Y104</f>
        <v>0.31812798939191966</v>
      </c>
      <c r="J97" s="216"/>
    </row>
    <row r="98" spans="1:10">
      <c r="A98" s="218">
        <f>Calc!A105</f>
        <v>9.6498999999999995E-3</v>
      </c>
      <c r="B98" s="218">
        <f>Calc!B105</f>
        <v>0.25697599999999998</v>
      </c>
      <c r="C98" s="218">
        <f>Calc!C105</f>
        <v>2.43517E-3</v>
      </c>
      <c r="D98" s="218">
        <f>Calc!I105</f>
        <v>357248496720554.87</v>
      </c>
      <c r="E98" s="218">
        <f>Calc!P105</f>
        <v>4.3801639735434583E-4</v>
      </c>
      <c r="F98" s="219">
        <f>Calc!S105</f>
        <v>2282.8076937265</v>
      </c>
      <c r="G98" s="218">
        <f>Calc!O105</f>
        <v>357248496720554.87</v>
      </c>
      <c r="H98" s="220">
        <f>Calc!X105</f>
        <v>0.55332939300344897</v>
      </c>
      <c r="I98" s="221">
        <f>Calc!Y105</f>
        <v>0.34384202533532865</v>
      </c>
      <c r="J98" s="216"/>
    </row>
    <row r="99" spans="1:10">
      <c r="A99" s="218">
        <f>Calc!A106</f>
        <v>9.7499000000000006E-3</v>
      </c>
      <c r="B99" s="218">
        <f>Calc!B106</f>
        <v>0.24740500000000001</v>
      </c>
      <c r="C99" s="218">
        <f>Calc!C106</f>
        <v>2.2862400000000001E-3</v>
      </c>
      <c r="D99" s="218">
        <f>Calc!I106</f>
        <v>343838392676644.37</v>
      </c>
      <c r="E99" s="218">
        <f>Calc!P106</f>
        <v>4.4645364470826662E-4</v>
      </c>
      <c r="F99" s="219">
        <f>Calc!S106</f>
        <v>2239.6779461424239</v>
      </c>
      <c r="G99" s="218">
        <f>Calc!O106</f>
        <v>343838392676644.37</v>
      </c>
      <c r="H99" s="220">
        <f>Calc!X106</f>
        <v>0.55159989637130236</v>
      </c>
      <c r="I99" s="221">
        <f>Calc!Y106</f>
        <v>0.32468102650206804</v>
      </c>
      <c r="J99" s="216"/>
    </row>
    <row r="100" spans="1:10">
      <c r="A100" s="218">
        <f>Calc!A107</f>
        <v>9.8499E-3</v>
      </c>
      <c r="B100" s="218">
        <f>Calc!B107</f>
        <v>0.23905599999999999</v>
      </c>
      <c r="C100" s="218">
        <f>Calc!C107</f>
        <v>1.81212E-3</v>
      </c>
      <c r="D100" s="218">
        <f>Calc!I107</f>
        <v>332146803764288.44</v>
      </c>
      <c r="E100" s="218">
        <f>Calc!P107</f>
        <v>5.2480046222023221E-4</v>
      </c>
      <c r="F100" s="219">
        <f>Calc!S107</f>
        <v>1905.3029929228289</v>
      </c>
      <c r="G100" s="218">
        <f>Calc!O107</f>
        <v>332146803764288.44</v>
      </c>
      <c r="H100" s="220">
        <f>Calc!X107</f>
        <v>0.55004204534844203</v>
      </c>
      <c r="I100" s="221">
        <f>Calc!Y107</f>
        <v>0.26681779072818795</v>
      </c>
      <c r="J100" s="216"/>
    </row>
    <row r="101" spans="1:10">
      <c r="A101" s="218">
        <f>Calc!A108</f>
        <v>9.9498999999999994E-3</v>
      </c>
      <c r="B101" s="218">
        <f>Calc!B108</f>
        <v>0.230267</v>
      </c>
      <c r="C101" s="218">
        <f>Calc!C108</f>
        <v>2.2022600000000002E-3</v>
      </c>
      <c r="D101" s="218">
        <f>Calc!I108</f>
        <v>319845468471968.87</v>
      </c>
      <c r="E101" s="218">
        <f>Calc!P108</f>
        <v>4.3361804975142285E-4</v>
      </c>
      <c r="F101" s="219">
        <f>Calc!S108</f>
        <v>2306.0072421210339</v>
      </c>
      <c r="G101" s="218">
        <f>Calc!O108</f>
        <v>319845468471968.87</v>
      </c>
      <c r="H101" s="220">
        <f>Calc!X108</f>
        <v>0.54834918242719177</v>
      </c>
      <c r="I101" s="221">
        <f>Calc!Y108</f>
        <v>0.31096518236791804</v>
      </c>
      <c r="J101" s="216"/>
    </row>
    <row r="102" spans="1:10">
      <c r="A102" s="218">
        <f>Calc!A109</f>
        <v>1.00499E-2</v>
      </c>
      <c r="B102" s="218">
        <f>Calc!B109</f>
        <v>0.22203400000000001</v>
      </c>
      <c r="C102" s="218">
        <f>Calc!C109</f>
        <v>1.9464E-3</v>
      </c>
      <c r="D102" s="218">
        <f>Calc!I109</f>
        <v>308328309726347.12</v>
      </c>
      <c r="E102" s="218">
        <f>Calc!P109</f>
        <v>4.6485951173124367E-4</v>
      </c>
      <c r="F102" s="219">
        <f>Calc!S109</f>
        <v>2151.0297524806838</v>
      </c>
      <c r="G102" s="218">
        <f>Calc!O109</f>
        <v>308328309726347.12</v>
      </c>
      <c r="H102" s="220">
        <f>Calc!X109</f>
        <v>0.54671084976408735</v>
      </c>
      <c r="I102" s="221">
        <f>Calc!Y109</f>
        <v>0.27962152215456437</v>
      </c>
      <c r="J102" s="216"/>
    </row>
    <row r="103" spans="1:10">
      <c r="A103" s="218">
        <f>Calc!A110</f>
        <v>1.01499E-2</v>
      </c>
      <c r="B103" s="218">
        <f>Calc!B110</f>
        <v>0.21428</v>
      </c>
      <c r="C103" s="218">
        <f>Calc!C110</f>
        <v>1.7457099999999999E-3</v>
      </c>
      <c r="D103" s="218">
        <f>Calc!I110</f>
        <v>297486533618272.75</v>
      </c>
      <c r="E103" s="218">
        <f>Calc!P110</f>
        <v>4.9399430240646867E-4</v>
      </c>
      <c r="F103" s="219">
        <f>Calc!S110</f>
        <v>2024.167938518905</v>
      </c>
      <c r="G103" s="218">
        <f>Calc!O110</f>
        <v>297486533618272.75</v>
      </c>
      <c r="H103" s="220">
        <f>Calc!X110</f>
        <v>0.54511816170931759</v>
      </c>
      <c r="I103" s="221">
        <f>Calc!Y110</f>
        <v>0.25387754289497572</v>
      </c>
      <c r="J103" s="216"/>
    </row>
    <row r="104" spans="1:10">
      <c r="A104" s="218">
        <f>Calc!A111</f>
        <v>1.0249899999999999E-2</v>
      </c>
      <c r="B104" s="218">
        <f>Calc!B111</f>
        <v>0.206175</v>
      </c>
      <c r="C104" s="218">
        <f>Calc!C111</f>
        <v>1.98839E-3</v>
      </c>
      <c r="D104" s="218">
        <f>Calc!I111</f>
        <v>286159504933067.44</v>
      </c>
      <c r="E104" s="218">
        <f>Calc!P111</f>
        <v>4.2979440359595407E-4</v>
      </c>
      <c r="F104" s="219">
        <f>Calc!S111</f>
        <v>2326.5579273562125</v>
      </c>
      <c r="G104" s="218">
        <f>Calc!O111</f>
        <v>286159504933067.44</v>
      </c>
      <c r="H104" s="220">
        <f>Calc!X111</f>
        <v>0.54339831676049999</v>
      </c>
      <c r="I104" s="221">
        <f>Calc!Y111</f>
        <v>0.280689608472805</v>
      </c>
      <c r="J104" s="216"/>
    </row>
    <row r="105" spans="1:10">
      <c r="A105" s="218">
        <f>Calc!A112</f>
        <v>1.03499E-2</v>
      </c>
      <c r="B105" s="218">
        <f>Calc!B112</f>
        <v>0.19889899999999999</v>
      </c>
      <c r="C105" s="218">
        <f>Calc!C112</f>
        <v>1.5455200000000001E-3</v>
      </c>
      <c r="D105" s="218">
        <f>Calc!I112</f>
        <v>275995855894748.12</v>
      </c>
      <c r="E105" s="218">
        <f>Calc!P112</f>
        <v>5.1502006383277613E-4</v>
      </c>
      <c r="F105" s="219">
        <f>Calc!S112</f>
        <v>1941.5454790531082</v>
      </c>
      <c r="G105" s="218">
        <f>Calc!O112</f>
        <v>275995855894748.12</v>
      </c>
      <c r="H105" s="220">
        <f>Calc!X112</f>
        <v>0.54180315445709948</v>
      </c>
      <c r="I105" s="221">
        <f>Calc!Y112</f>
        <v>0.22592137778137866</v>
      </c>
      <c r="J105" s="216"/>
    </row>
    <row r="106" spans="1:10">
      <c r="A106" s="218">
        <f>Calc!A113</f>
        <v>1.04499E-2</v>
      </c>
      <c r="B106" s="218">
        <f>Calc!B113</f>
        <v>0.19214200000000001</v>
      </c>
      <c r="C106" s="218">
        <f>Calc!C113</f>
        <v>1.79356E-3</v>
      </c>
      <c r="D106" s="218">
        <f>Calc!I113</f>
        <v>266561282447647.94</v>
      </c>
      <c r="E106" s="218">
        <f>Calc!P113</f>
        <v>4.4431228755616246E-4</v>
      </c>
      <c r="F106" s="219">
        <f>Calc!S113</f>
        <v>2250.5512920856959</v>
      </c>
      <c r="G106" s="218">
        <f>Calc!O113</f>
        <v>266561282447647.94</v>
      </c>
      <c r="H106" s="220">
        <f>Calc!X113</f>
        <v>0.54027542470421253</v>
      </c>
      <c r="I106" s="221">
        <f>Calc!Y113</f>
        <v>0.25292261324024501</v>
      </c>
      <c r="J106" s="216"/>
    </row>
    <row r="107" spans="1:10">
      <c r="A107" s="218">
        <f>Calc!A114</f>
        <v>1.0549899999999999E-2</v>
      </c>
      <c r="B107" s="218">
        <f>Calc!B114</f>
        <v>0.18549099999999999</v>
      </c>
      <c r="C107" s="218">
        <f>Calc!C114</f>
        <v>1.8048000000000001E-3</v>
      </c>
      <c r="D107" s="218">
        <f>Calc!I114</f>
        <v>257278579155500.41</v>
      </c>
      <c r="E107" s="218">
        <f>Calc!P114</f>
        <v>4.2852258388792876E-4</v>
      </c>
      <c r="F107" s="219">
        <f>Calc!S114</f>
        <v>2333.48941664734</v>
      </c>
      <c r="G107" s="218">
        <f>Calc!O114</f>
        <v>257278579155500.41</v>
      </c>
      <c r="H107" s="220">
        <f>Calc!X114</f>
        <v>0.53872520745883068</v>
      </c>
      <c r="I107" s="221">
        <f>Calc!Y114</f>
        <v>0.25310972317198849</v>
      </c>
      <c r="J107" s="216"/>
    </row>
    <row r="108" spans="1:10">
      <c r="A108" s="218">
        <f>Calc!A115</f>
        <v>1.06499E-2</v>
      </c>
      <c r="B108" s="218">
        <f>Calc!B115</f>
        <v>0.179173</v>
      </c>
      <c r="C108" s="218">
        <f>Calc!C115</f>
        <v>1.3804799999999999E-3</v>
      </c>
      <c r="D108" s="218">
        <f>Calc!I115</f>
        <v>248464201574708.03</v>
      </c>
      <c r="E108" s="218">
        <f>Calc!P115</f>
        <v>5.1881247298820015E-4</v>
      </c>
      <c r="F108" s="219">
        <f>Calc!S115</f>
        <v>1927.3762381849185</v>
      </c>
      <c r="G108" s="218">
        <f>Calc!O115</f>
        <v>248464201574708.03</v>
      </c>
      <c r="H108" s="220">
        <f>Calc!X115</f>
        <v>0.53720715924507867</v>
      </c>
      <c r="I108" s="221">
        <f>Calc!Y115</f>
        <v>0.20189814627101876</v>
      </c>
      <c r="J108" s="216"/>
    </row>
    <row r="109" spans="1:10">
      <c r="A109" s="218">
        <f>Calc!A116</f>
        <v>1.07499E-2</v>
      </c>
      <c r="B109" s="218">
        <f>Calc!B116</f>
        <v>0.17263999999999999</v>
      </c>
      <c r="C109" s="218">
        <f>Calc!C116</f>
        <v>1.81065E-3</v>
      </c>
      <c r="D109" s="218">
        <f>Calc!I116</f>
        <v>239353533984801.22</v>
      </c>
      <c r="E109" s="218">
        <f>Calc!P116</f>
        <v>4.0147125436326562E-4</v>
      </c>
      <c r="F109" s="219">
        <f>Calc!S116</f>
        <v>2490.7432564044061</v>
      </c>
      <c r="G109" s="218">
        <f>Calc!O116</f>
        <v>239353533984801.22</v>
      </c>
      <c r="H109" s="220">
        <f>Calc!X116</f>
        <v>0.53558779863723238</v>
      </c>
      <c r="I109" s="221">
        <f>Calc!Y116</f>
        <v>0.25134155885273007</v>
      </c>
      <c r="J109" s="216"/>
    </row>
    <row r="110" spans="1:10">
      <c r="A110" s="218">
        <f>Calc!A117</f>
        <v>1.0849900000000001E-2</v>
      </c>
      <c r="B110" s="218">
        <f>Calc!B117</f>
        <v>0.16645799999999999</v>
      </c>
      <c r="C110" s="218">
        <f>Calc!C117</f>
        <v>1.6280400000000001E-3</v>
      </c>
      <c r="D110" s="218">
        <f>Calc!I117</f>
        <v>230735795418580.44</v>
      </c>
      <c r="E110" s="218">
        <f>Calc!P117</f>
        <v>4.259762494122619E-4</v>
      </c>
      <c r="F110" s="219">
        <f>Calc!S117</f>
        <v>2347.4603454589269</v>
      </c>
      <c r="G110" s="218">
        <f>Calc!O117</f>
        <v>230735795418580.44</v>
      </c>
      <c r="H110" s="220">
        <f>Calc!X117</f>
        <v>0.53400583697893778</v>
      </c>
      <c r="I110" s="221">
        <f>Calc!Y117</f>
        <v>0.22835393730752082</v>
      </c>
      <c r="J110" s="216"/>
    </row>
    <row r="111" spans="1:10">
      <c r="A111" s="218">
        <f>Calc!A118</f>
        <v>1.09499E-2</v>
      </c>
      <c r="B111" s="218">
        <f>Calc!B118</f>
        <v>0.16117500000000001</v>
      </c>
      <c r="C111" s="218">
        <f>Calc!C118</f>
        <v>1.3023500000000001E-3</v>
      </c>
      <c r="D111" s="218">
        <f>Calc!I118</f>
        <v>223373924361849.44</v>
      </c>
      <c r="E111" s="218">
        <f>Calc!P118</f>
        <v>5.010553105574949E-4</v>
      </c>
      <c r="F111" s="219">
        <f>Calc!S118</f>
        <v>1995.7048212374086</v>
      </c>
      <c r="G111" s="218">
        <f>Calc!O118</f>
        <v>223373924361849.44</v>
      </c>
      <c r="H111" s="220">
        <f>Calc!X118</f>
        <v>0.53261320113766586</v>
      </c>
      <c r="I111" s="221">
        <f>Calc!Y118</f>
        <v>0.18794281173718058</v>
      </c>
      <c r="J111" s="216"/>
    </row>
    <row r="112" spans="1:10">
      <c r="A112" s="218">
        <f>Calc!A119</f>
        <v>1.10499E-2</v>
      </c>
      <c r="B112" s="218">
        <f>Calc!B119</f>
        <v>0.155306</v>
      </c>
      <c r="C112" s="218">
        <f>Calc!C119</f>
        <v>1.70079E-3</v>
      </c>
      <c r="D112" s="218">
        <f>Calc!I119</f>
        <v>215198340747011.87</v>
      </c>
      <c r="E112" s="218">
        <f>Calc!P119</f>
        <v>3.8740767431058641E-4</v>
      </c>
      <c r="F112" s="219">
        <f>Calc!S119</f>
        <v>2581.1832967943742</v>
      </c>
      <c r="G112" s="218">
        <f>Calc!O119</f>
        <v>215198340747011.87</v>
      </c>
      <c r="H112" s="220">
        <f>Calc!X119</f>
        <v>0.53101920694952776</v>
      </c>
      <c r="I112" s="221">
        <f>Calc!Y119</f>
        <v>0.23417989880815573</v>
      </c>
      <c r="J112" s="216"/>
    </row>
    <row r="113" spans="1:10">
      <c r="A113" s="218">
        <f>Calc!A120</f>
        <v>1.1149900000000001E-2</v>
      </c>
      <c r="B113" s="218">
        <f>Calc!B120</f>
        <v>0.15004200000000001</v>
      </c>
      <c r="C113" s="218">
        <f>Calc!C120</f>
        <v>1.338E-3</v>
      </c>
      <c r="D113" s="218">
        <f>Calc!I120</f>
        <v>207868114746147.03</v>
      </c>
      <c r="E113" s="218">
        <f>Calc!P120</f>
        <v>4.6340841671324009E-4</v>
      </c>
      <c r="F113" s="219">
        <f>Calc!S120</f>
        <v>2157.8519615738646</v>
      </c>
      <c r="G113" s="218">
        <f>Calc!O120</f>
        <v>207868114746147.03</v>
      </c>
      <c r="H113" s="220">
        <f>Calc!X120</f>
        <v>0.52954486056834404</v>
      </c>
      <c r="I113" s="221">
        <f>Calc!Y120</f>
        <v>0.18910494036271797</v>
      </c>
      <c r="J113" s="216"/>
    </row>
    <row r="114" spans="1:10">
      <c r="A114" s="218">
        <f>Calc!A121</f>
        <v>1.12499E-2</v>
      </c>
      <c r="B114" s="218">
        <f>Calc!B121</f>
        <v>0.14480799999999999</v>
      </c>
      <c r="C114" s="218">
        <f>Calc!C121</f>
        <v>1.56456E-3</v>
      </c>
      <c r="D114" s="218">
        <f>Calc!I121</f>
        <v>200582095845874.59</v>
      </c>
      <c r="E114" s="218">
        <f>Calc!P121</f>
        <v>3.9579495457313965E-4</v>
      </c>
      <c r="F114" s="219">
        <f>Calc!S121</f>
        <v>2526.493969817016</v>
      </c>
      <c r="G114" s="218">
        <f>Calc!O121</f>
        <v>200582095845874.59</v>
      </c>
      <c r="H114" s="220">
        <f>Calc!X121</f>
        <v>0.52803426996124847</v>
      </c>
      <c r="I114" s="221">
        <f>Calc!Y121</f>
        <v>0.21364898124801476</v>
      </c>
      <c r="J114" s="216"/>
    </row>
    <row r="115" spans="1:10">
      <c r="A115" s="218">
        <f>Calc!A122</f>
        <v>1.13499E-2</v>
      </c>
      <c r="B115" s="218">
        <f>Calc!B122</f>
        <v>0.140852</v>
      </c>
      <c r="C115" s="218">
        <f>Calc!C122</f>
        <v>1.5611399999999999E-3</v>
      </c>
      <c r="D115" s="218">
        <f>Calc!I122</f>
        <v>195076737089164.28</v>
      </c>
      <c r="E115" s="218">
        <f>Calc!P122</f>
        <v>3.8691020789977137E-4</v>
      </c>
      <c r="F115" s="219">
        <f>Calc!S122</f>
        <v>2584.51583340244</v>
      </c>
      <c r="G115" s="218">
        <f>Calc!O122</f>
        <v>195076737089164.28</v>
      </c>
      <c r="H115" s="220">
        <f>Calc!X122</f>
        <v>0.52686120840503103</v>
      </c>
      <c r="I115" s="221">
        <f>Calc!Y122</f>
        <v>0.2125564117952152</v>
      </c>
      <c r="J115" s="216"/>
    </row>
    <row r="116" spans="1:10">
      <c r="A116" s="218">
        <f>Calc!A123</f>
        <v>1.1449900000000001E-2</v>
      </c>
      <c r="B116" s="218">
        <f>Calc!B123</f>
        <v>0.13636000000000001</v>
      </c>
      <c r="C116" s="218">
        <f>Calc!C123</f>
        <v>1.1500099999999999E-3</v>
      </c>
      <c r="D116" s="218">
        <f>Calc!I123</f>
        <v>188827143272111.87</v>
      </c>
      <c r="E116" s="218">
        <f>Calc!P123</f>
        <v>4.9014314593178517E-4</v>
      </c>
      <c r="F116" s="219">
        <f>Calc!S123</f>
        <v>2040.1611192341525</v>
      </c>
      <c r="G116" s="218">
        <f>Calc!O123</f>
        <v>188827143272111.87</v>
      </c>
      <c r="H116" s="220">
        <f>Calc!X123</f>
        <v>0.52549460050088725</v>
      </c>
      <c r="I116" s="221">
        <f>Calc!Y123</f>
        <v>0.16241285623592486</v>
      </c>
      <c r="J116" s="216"/>
    </row>
    <row r="117" spans="1:10">
      <c r="A117" s="218">
        <f>Calc!A124</f>
        <v>1.15499E-2</v>
      </c>
      <c r="B117" s="218">
        <f>Calc!B124</f>
        <v>0.131302</v>
      </c>
      <c r="C117" s="218">
        <f>Calc!C124</f>
        <v>1.6177800000000001E-3</v>
      </c>
      <c r="D117" s="218">
        <f>Calc!I124</f>
        <v>181792244025413.81</v>
      </c>
      <c r="E117" s="218">
        <f>Calc!P124</f>
        <v>3.5244890288449617E-4</v>
      </c>
      <c r="F117" s="219">
        <f>Calc!S124</f>
        <v>2837.2358555701412</v>
      </c>
      <c r="G117" s="218">
        <f>Calc!O124</f>
        <v>181792244025413.81</v>
      </c>
      <c r="H117" s="220">
        <f>Calc!X124</f>
        <v>0.52390909965446109</v>
      </c>
      <c r="I117" s="221">
        <f>Calc!Y124</f>
        <v>0.21744934442622829</v>
      </c>
      <c r="J117" s="216"/>
    </row>
    <row r="118" spans="1:10">
      <c r="A118" s="218">
        <f>Calc!A125</f>
        <v>1.1649899999999999E-2</v>
      </c>
      <c r="B118" s="218">
        <f>Calc!B125</f>
        <v>0.127688</v>
      </c>
      <c r="C118" s="218">
        <f>Calc!C125</f>
        <v>1.39317E-3</v>
      </c>
      <c r="D118" s="218">
        <f>Calc!I125</f>
        <v>176767128050752.59</v>
      </c>
      <c r="E118" s="218">
        <f>Calc!P125</f>
        <v>3.9353640810649494E-4</v>
      </c>
      <c r="F118" s="219">
        <f>Calc!S125</f>
        <v>2541.0090830474655</v>
      </c>
      <c r="G118" s="218">
        <f>Calc!O125</f>
        <v>176767128050752.59</v>
      </c>
      <c r="H118" s="220">
        <f>Calc!X125</f>
        <v>0.52274411592788428</v>
      </c>
      <c r="I118" s="221">
        <f>Calc!Y125</f>
        <v>0.1893631649776327</v>
      </c>
      <c r="J118" s="216"/>
    </row>
    <row r="119" spans="1:10">
      <c r="A119" s="218">
        <f>Calc!A126</f>
        <v>1.1749900000000001E-2</v>
      </c>
      <c r="B119" s="218">
        <f>Calc!B126</f>
        <v>0.123782</v>
      </c>
      <c r="C119" s="218">
        <f>Calc!C126</f>
        <v>1.26085E-3</v>
      </c>
      <c r="D119" s="218">
        <f>Calc!I126</f>
        <v>171337315296003.25</v>
      </c>
      <c r="E119" s="218">
        <f>Calc!P126</f>
        <v>4.1882804193147006E-4</v>
      </c>
      <c r="F119" s="219">
        <f>Calc!S126</f>
        <v>2387.565992872057</v>
      </c>
      <c r="G119" s="218">
        <f>Calc!O126</f>
        <v>171337315296003.25</v>
      </c>
      <c r="H119" s="220">
        <f>Calc!X126</f>
        <v>0.52145310783113952</v>
      </c>
      <c r="I119" s="221">
        <f>Calc!Y126</f>
        <v>0.17246267631535328</v>
      </c>
      <c r="J119" s="216"/>
    </row>
    <row r="120" spans="1:10">
      <c r="A120" s="218">
        <f>Calc!A127</f>
        <v>1.18499E-2</v>
      </c>
      <c r="B120" s="218">
        <f>Calc!B127</f>
        <v>0.11988600000000001</v>
      </c>
      <c r="C120" s="218">
        <f>Calc!C127</f>
        <v>1.5377100000000001E-3</v>
      </c>
      <c r="D120" s="218">
        <f>Calc!I127</f>
        <v>165922769955162.66</v>
      </c>
      <c r="E120" s="218">
        <f>Calc!P127</f>
        <v>3.4244526678078575E-4</v>
      </c>
      <c r="F120" s="219">
        <f>Calc!S127</f>
        <v>2920.1289873634264</v>
      </c>
      <c r="G120" s="218">
        <f>Calc!O127</f>
        <v>165922769955162.66</v>
      </c>
      <c r="H120" s="220">
        <f>Calc!X127</f>
        <v>0.52013055824522392</v>
      </c>
      <c r="I120" s="221">
        <f>Calc!Y127</f>
        <v>0.20426489570062575</v>
      </c>
      <c r="J120" s="216"/>
    </row>
    <row r="121" spans="1:10">
      <c r="A121" s="218">
        <f>Calc!A128</f>
        <v>1.1949899999999999E-2</v>
      </c>
      <c r="B121" s="218">
        <f>Calc!B128</f>
        <v>0.11595999999999999</v>
      </c>
      <c r="C121" s="218">
        <f>Calc!C128</f>
        <v>1.1817500000000001E-3</v>
      </c>
      <c r="D121" s="218">
        <f>Calc!I128</f>
        <v>160467915272472.62</v>
      </c>
      <c r="E121" s="218">
        <f>Calc!P128</f>
        <v>4.2040863790296975E-4</v>
      </c>
      <c r="F121" s="219">
        <f>Calc!S128</f>
        <v>2378.595346314421</v>
      </c>
      <c r="G121" s="218">
        <f>Calc!O128</f>
        <v>160467915272472.62</v>
      </c>
      <c r="H121" s="220">
        <f>Calc!X128</f>
        <v>0.51876053983817239</v>
      </c>
      <c r="I121" s="221">
        <f>Calc!Y128</f>
        <v>0.16091461665587276</v>
      </c>
      <c r="J121" s="216"/>
    </row>
    <row r="122" spans="1:10">
      <c r="A122" s="218">
        <f>Calc!A129</f>
        <v>1.2049900000000001E-2</v>
      </c>
      <c r="B122" s="218">
        <f>Calc!B129</f>
        <v>0.113304</v>
      </c>
      <c r="C122" s="218">
        <f>Calc!C129</f>
        <v>1.4498099999999999E-3</v>
      </c>
      <c r="D122" s="218">
        <f>Calc!I129</f>
        <v>156778410898417.81</v>
      </c>
      <c r="E122" s="218">
        <f>Calc!P129</f>
        <v>3.4522165843920176E-4</v>
      </c>
      <c r="F122" s="219">
        <f>Calc!S129</f>
        <v>2896.6488337216574</v>
      </c>
      <c r="G122" s="218">
        <f>Calc!O129</f>
        <v>156778410898417.81</v>
      </c>
      <c r="H122" s="220">
        <f>Calc!X129</f>
        <v>0.51781132617598413</v>
      </c>
      <c r="I122" s="221">
        <f>Calc!Y129</f>
        <v>0.1914551877639187</v>
      </c>
      <c r="J122" s="216"/>
    </row>
    <row r="123" spans="1:10">
      <c r="A123" s="218">
        <f>Calc!A130</f>
        <v>1.21499E-2</v>
      </c>
      <c r="B123" s="218">
        <f>Calc!B130</f>
        <v>0.109651</v>
      </c>
      <c r="C123" s="218">
        <f>Calc!C130</f>
        <v>1.40733E-3</v>
      </c>
      <c r="D123" s="218">
        <f>Calc!I130</f>
        <v>151704996608907.37</v>
      </c>
      <c r="E123" s="218">
        <f>Calc!P130</f>
        <v>3.4451585326652248E-4</v>
      </c>
      <c r="F123" s="219">
        <f>Calc!S130</f>
        <v>2902.5858423193717</v>
      </c>
      <c r="G123" s="218">
        <f>Calc!O130</f>
        <v>151704996608907.37</v>
      </c>
      <c r="H123" s="220">
        <f>Calc!X130</f>
        <v>0.51647469119119538</v>
      </c>
      <c r="I123" s="221">
        <f>Calc!Y130</f>
        <v>0.18563915760194655</v>
      </c>
      <c r="J123" s="216"/>
    </row>
    <row r="124" spans="1:10">
      <c r="A124" s="218">
        <f>Calc!A131</f>
        <v>1.2249899999999999E-2</v>
      </c>
      <c r="B124" s="218">
        <f>Calc!B131</f>
        <v>0.106751</v>
      </c>
      <c r="C124" s="218">
        <f>Calc!C131</f>
        <v>1.14708E-3</v>
      </c>
      <c r="D124" s="218">
        <f>Calc!I131</f>
        <v>147678237239640</v>
      </c>
      <c r="E124" s="218">
        <f>Calc!P131</f>
        <v>4.0304331004987408E-4</v>
      </c>
      <c r="F124" s="219">
        <f>Calc!S131</f>
        <v>2481.0867313886952</v>
      </c>
      <c r="G124" s="218">
        <f>Calc!O131</f>
        <v>147678237239640</v>
      </c>
      <c r="H124" s="220">
        <f>Calc!X131</f>
        <v>0.51538663161694653</v>
      </c>
      <c r="I124" s="221">
        <f>Calc!Y131</f>
        <v>0.15446984046703902</v>
      </c>
      <c r="J124" s="216"/>
    </row>
    <row r="125" spans="1:10">
      <c r="A125" s="218">
        <f>Calc!A132</f>
        <v>1.23499E-2</v>
      </c>
      <c r="B125" s="218">
        <f>Calc!B132</f>
        <v>0.10359699999999999</v>
      </c>
      <c r="C125" s="218">
        <f>Calc!C132</f>
        <v>1.5835999999999999E-3</v>
      </c>
      <c r="D125" s="218">
        <f>Calc!I132</f>
        <v>143299657562433.16</v>
      </c>
      <c r="E125" s="218">
        <f>Calc!P132</f>
        <v>0</v>
      </c>
      <c r="F125" s="219">
        <f>Calc!S132</f>
        <v>0</v>
      </c>
      <c r="G125" s="218">
        <f>Calc!O132</f>
        <v>143299657562433.16</v>
      </c>
      <c r="H125" s="220">
        <f>Calc!X132</f>
        <v>0.5141747113139773</v>
      </c>
      <c r="I125" s="221" t="str">
        <f>Calc!Y132</f>
        <v/>
      </c>
      <c r="J125" s="216"/>
    </row>
    <row r="126" spans="1:10">
      <c r="A126" s="218">
        <f>Calc!A133</f>
        <v>1.24499E-2</v>
      </c>
      <c r="B126" s="218">
        <f>Calc!B133</f>
        <v>0.100882</v>
      </c>
      <c r="C126" s="218">
        <f>Calc!C133</f>
        <v>1.36192E-3</v>
      </c>
      <c r="D126" s="218">
        <f>Calc!I133</f>
        <v>139531251212923.47</v>
      </c>
      <c r="E126" s="218">
        <f>Calc!P133</f>
        <v>0</v>
      </c>
      <c r="F126" s="219">
        <f>Calc!S133</f>
        <v>0</v>
      </c>
      <c r="G126" s="218">
        <f>Calc!O133</f>
        <v>139531251212923.47</v>
      </c>
      <c r="H126" s="220">
        <f>Calc!X133</f>
        <v>0.51310642656917571</v>
      </c>
      <c r="I126" s="221" t="str">
        <f>Calc!Y133</f>
        <v/>
      </c>
      <c r="J126" s="216"/>
    </row>
    <row r="127" spans="1:10">
      <c r="A127" s="216"/>
      <c r="B127" s="216"/>
      <c r="C127" s="216"/>
      <c r="D127" s="216"/>
      <c r="E127" s="216"/>
      <c r="F127" s="216"/>
      <c r="G127" s="216"/>
      <c r="H127" s="216"/>
      <c r="I127" s="216"/>
      <c r="J127" s="216"/>
    </row>
    <row r="128" spans="1:10">
      <c r="A128" s="216"/>
      <c r="B128" s="216"/>
      <c r="C128" s="216"/>
      <c r="D128" s="216"/>
      <c r="E128" s="216"/>
      <c r="F128" s="216"/>
      <c r="G128" s="216"/>
      <c r="H128" s="216"/>
      <c r="I128" s="216"/>
      <c r="J128" s="216"/>
    </row>
    <row r="129" spans="1:10">
      <c r="A129" s="216"/>
      <c r="B129" s="216"/>
      <c r="C129" s="216"/>
      <c r="D129" s="216"/>
      <c r="E129" s="216"/>
      <c r="F129" s="216"/>
      <c r="G129" s="216"/>
      <c r="H129" s="216"/>
      <c r="I129" s="216"/>
      <c r="J129" s="216"/>
    </row>
    <row r="130" spans="1:10">
      <c r="A130" s="216"/>
      <c r="B130" s="216"/>
      <c r="C130" s="216"/>
      <c r="D130" s="216"/>
      <c r="E130" s="216"/>
      <c r="F130" s="216"/>
      <c r="G130" s="216"/>
      <c r="H130" s="216"/>
      <c r="I130" s="216"/>
      <c r="J130" s="216"/>
    </row>
    <row r="131" spans="1:10">
      <c r="A131" s="216"/>
      <c r="B131" s="216"/>
      <c r="C131" s="216"/>
      <c r="D131" s="216"/>
      <c r="E131" s="216"/>
      <c r="F131" s="216"/>
      <c r="G131" s="216"/>
      <c r="H131" s="216"/>
      <c r="I131" s="216"/>
      <c r="J131" s="216"/>
    </row>
    <row r="132" spans="1:10">
      <c r="A132" s="216"/>
      <c r="B132" s="216"/>
      <c r="C132" s="216"/>
      <c r="D132" s="216"/>
      <c r="E132" s="216"/>
      <c r="F132" s="216"/>
      <c r="G132" s="216"/>
      <c r="H132" s="216"/>
      <c r="I132" s="216"/>
      <c r="J132" s="216"/>
    </row>
    <row r="133" spans="1:10">
      <c r="A133" s="216"/>
      <c r="B133" s="216"/>
      <c r="C133" s="216"/>
      <c r="D133" s="216"/>
      <c r="E133" s="216"/>
      <c r="F133" s="216"/>
      <c r="G133" s="216"/>
      <c r="H133" s="216"/>
      <c r="I133" s="216"/>
      <c r="J133" s="216"/>
    </row>
    <row r="134" spans="1:10">
      <c r="A134" s="216"/>
      <c r="B134" s="216"/>
      <c r="C134" s="216"/>
      <c r="D134" s="216"/>
      <c r="E134" s="216"/>
      <c r="F134" s="216"/>
      <c r="G134" s="216"/>
      <c r="H134" s="216"/>
      <c r="I134" s="216"/>
      <c r="J134" s="216"/>
    </row>
    <row r="135" spans="1:10">
      <c r="A135" s="216"/>
      <c r="B135" s="216"/>
      <c r="C135" s="216"/>
      <c r="D135" s="216"/>
      <c r="E135" s="216"/>
      <c r="F135" s="216"/>
      <c r="G135" s="216"/>
      <c r="H135" s="216"/>
      <c r="I135" s="216"/>
      <c r="J135" s="216"/>
    </row>
    <row r="136" spans="1:10">
      <c r="A136" s="216"/>
      <c r="B136" s="216"/>
      <c r="C136" s="216"/>
      <c r="D136" s="216"/>
      <c r="E136" s="216"/>
      <c r="F136" s="216"/>
      <c r="G136" s="216"/>
      <c r="H136" s="216"/>
      <c r="I136" s="216"/>
      <c r="J136" s="216"/>
    </row>
    <row r="137" spans="1:10">
      <c r="A137" s="216"/>
      <c r="B137" s="216"/>
      <c r="C137" s="216"/>
      <c r="D137" s="216"/>
      <c r="E137" s="216"/>
      <c r="F137" s="216"/>
      <c r="G137" s="216"/>
      <c r="H137" s="216"/>
      <c r="I137" s="216"/>
      <c r="J137" s="216"/>
    </row>
    <row r="138" spans="1:10">
      <c r="A138" s="216"/>
      <c r="B138" s="216"/>
      <c r="C138" s="216"/>
      <c r="D138" s="216"/>
      <c r="E138" s="216"/>
      <c r="F138" s="216"/>
      <c r="G138" s="216"/>
      <c r="H138" s="216"/>
      <c r="I138" s="216"/>
      <c r="J138" s="216"/>
    </row>
    <row r="139" spans="1:10">
      <c r="A139" s="216"/>
      <c r="B139" s="216"/>
      <c r="C139" s="216"/>
      <c r="D139" s="216"/>
      <c r="E139" s="216"/>
      <c r="F139" s="216"/>
      <c r="G139" s="216"/>
      <c r="H139" s="216"/>
      <c r="I139" s="216"/>
      <c r="J139" s="216"/>
    </row>
    <row r="140" spans="1:10">
      <c r="A140" s="216"/>
      <c r="B140" s="216"/>
      <c r="C140" s="216"/>
      <c r="D140" s="216"/>
      <c r="E140" s="216"/>
      <c r="F140" s="216"/>
      <c r="G140" s="216"/>
      <c r="H140" s="216"/>
      <c r="I140" s="216"/>
      <c r="J140" s="216"/>
    </row>
    <row r="141" spans="1:10">
      <c r="A141" s="216"/>
      <c r="B141" s="216"/>
      <c r="C141" s="216"/>
      <c r="D141" s="216"/>
      <c r="E141" s="216"/>
      <c r="F141" s="216"/>
      <c r="G141" s="216"/>
      <c r="H141" s="216"/>
      <c r="I141" s="216"/>
      <c r="J141" s="216"/>
    </row>
    <row r="142" spans="1:10">
      <c r="A142" s="216"/>
      <c r="B142" s="216"/>
      <c r="C142" s="216"/>
      <c r="D142" s="216"/>
      <c r="E142" s="216"/>
      <c r="F142" s="216"/>
      <c r="G142" s="216"/>
      <c r="H142" s="216"/>
      <c r="I142" s="216"/>
      <c r="J142" s="216"/>
    </row>
    <row r="143" spans="1:10">
      <c r="A143" s="216"/>
      <c r="B143" s="216"/>
      <c r="C143" s="216"/>
      <c r="D143" s="216"/>
      <c r="E143" s="216"/>
      <c r="F143" s="216"/>
      <c r="G143" s="216"/>
      <c r="H143" s="216"/>
      <c r="I143" s="216"/>
      <c r="J143" s="216"/>
    </row>
    <row r="144" spans="1:10">
      <c r="A144" s="216"/>
      <c r="B144" s="216"/>
      <c r="C144" s="216"/>
      <c r="D144" s="216"/>
      <c r="E144" s="216"/>
      <c r="F144" s="216"/>
      <c r="G144" s="216"/>
      <c r="H144" s="216"/>
      <c r="I144" s="216"/>
      <c r="J144" s="216"/>
    </row>
    <row r="145" spans="1:10">
      <c r="A145" s="216"/>
      <c r="B145" s="216"/>
      <c r="C145" s="216"/>
      <c r="D145" s="216"/>
      <c r="E145" s="216"/>
      <c r="F145" s="216"/>
      <c r="G145" s="216"/>
      <c r="H145" s="216"/>
      <c r="I145" s="216"/>
      <c r="J145" s="216"/>
    </row>
    <row r="146" spans="1:10">
      <c r="A146" s="216"/>
      <c r="B146" s="216"/>
      <c r="C146" s="216"/>
      <c r="D146" s="216"/>
      <c r="E146" s="216"/>
      <c r="F146" s="216"/>
      <c r="G146" s="216"/>
      <c r="H146" s="216"/>
      <c r="I146" s="216"/>
      <c r="J146" s="216"/>
    </row>
    <row r="147" spans="1:10">
      <c r="A147" s="216"/>
      <c r="B147" s="216"/>
      <c r="C147" s="216"/>
      <c r="D147" s="216"/>
      <c r="E147" s="216"/>
      <c r="F147" s="216"/>
      <c r="G147" s="216"/>
      <c r="H147" s="216"/>
      <c r="I147" s="216"/>
      <c r="J147" s="216"/>
    </row>
    <row r="148" spans="1:10">
      <c r="A148" s="216"/>
      <c r="B148" s="216"/>
      <c r="C148" s="216"/>
      <c r="D148" s="216"/>
      <c r="E148" s="216"/>
      <c r="F148" s="216"/>
      <c r="G148" s="216"/>
      <c r="H148" s="216"/>
      <c r="I148" s="216"/>
      <c r="J148" s="216"/>
    </row>
    <row r="149" spans="1:10">
      <c r="A149" s="216"/>
      <c r="B149" s="216"/>
      <c r="C149" s="216"/>
      <c r="D149" s="216"/>
      <c r="E149" s="216"/>
      <c r="F149" s="216"/>
      <c r="G149" s="216"/>
      <c r="H149" s="216"/>
      <c r="I149" s="216"/>
      <c r="J149" s="216"/>
    </row>
    <row r="150" spans="1:10">
      <c r="A150" s="216"/>
      <c r="B150" s="216"/>
      <c r="C150" s="216"/>
      <c r="D150" s="216"/>
      <c r="E150" s="216"/>
      <c r="F150" s="216"/>
      <c r="G150" s="216"/>
      <c r="H150" s="216"/>
      <c r="I150" s="216"/>
      <c r="J150" s="216"/>
    </row>
    <row r="151" spans="1:10">
      <c r="A151" s="216"/>
      <c r="B151" s="216"/>
      <c r="C151" s="216"/>
      <c r="D151" s="216"/>
      <c r="E151" s="216"/>
      <c r="F151" s="216"/>
      <c r="G151" s="216"/>
      <c r="H151" s="216"/>
      <c r="I151" s="216"/>
      <c r="J151" s="216"/>
    </row>
    <row r="152" spans="1:10">
      <c r="A152" s="216"/>
      <c r="B152" s="216"/>
      <c r="C152" s="216"/>
      <c r="D152" s="216"/>
      <c r="E152" s="216"/>
      <c r="F152" s="216"/>
      <c r="G152" s="216"/>
      <c r="H152" s="216"/>
      <c r="I152" s="216"/>
      <c r="J152" s="216"/>
    </row>
    <row r="153" spans="1:10">
      <c r="A153" s="216"/>
      <c r="B153" s="216"/>
      <c r="C153" s="216"/>
      <c r="D153" s="216"/>
      <c r="E153" s="216"/>
      <c r="F153" s="216"/>
      <c r="G153" s="216"/>
      <c r="H153" s="216"/>
      <c r="I153" s="216"/>
      <c r="J153" s="216"/>
    </row>
    <row r="154" spans="1:10">
      <c r="A154" s="216"/>
      <c r="B154" s="216"/>
      <c r="C154" s="216"/>
      <c r="D154" s="216"/>
      <c r="E154" s="216"/>
      <c r="F154" s="216"/>
      <c r="G154" s="216"/>
      <c r="H154" s="216"/>
      <c r="I154" s="216"/>
      <c r="J154" s="216"/>
    </row>
    <row r="155" spans="1:10">
      <c r="A155" s="216"/>
      <c r="B155" s="216"/>
      <c r="C155" s="216"/>
      <c r="D155" s="216"/>
      <c r="E155" s="216"/>
      <c r="F155" s="216"/>
      <c r="G155" s="216"/>
      <c r="H155" s="216"/>
      <c r="I155" s="216"/>
      <c r="J155" s="216"/>
    </row>
    <row r="156" spans="1:10">
      <c r="A156" s="216"/>
      <c r="B156" s="216"/>
      <c r="C156" s="216"/>
      <c r="D156" s="216"/>
      <c r="E156" s="216"/>
      <c r="F156" s="216"/>
      <c r="G156" s="216"/>
      <c r="H156" s="216"/>
      <c r="I156" s="216"/>
      <c r="J156" s="216"/>
    </row>
    <row r="157" spans="1:10">
      <c r="A157" s="216"/>
      <c r="B157" s="216"/>
      <c r="C157" s="216"/>
      <c r="D157" s="216"/>
      <c r="E157" s="216"/>
      <c r="F157" s="216"/>
      <c r="G157" s="216"/>
      <c r="H157" s="216"/>
      <c r="I157" s="216"/>
      <c r="J157" s="216"/>
    </row>
    <row r="158" spans="1:10">
      <c r="A158" s="216"/>
      <c r="B158" s="216"/>
      <c r="C158" s="216"/>
      <c r="D158" s="216"/>
      <c r="E158" s="216"/>
      <c r="F158" s="216"/>
      <c r="G158" s="216"/>
      <c r="H158" s="216"/>
      <c r="I158" s="216"/>
      <c r="J158" s="216"/>
    </row>
    <row r="159" spans="1:10">
      <c r="A159" s="216"/>
      <c r="B159" s="216"/>
      <c r="C159" s="216"/>
      <c r="D159" s="216"/>
      <c r="E159" s="216"/>
      <c r="F159" s="216"/>
      <c r="G159" s="216"/>
      <c r="H159" s="216"/>
      <c r="I159" s="216"/>
      <c r="J159" s="216"/>
    </row>
    <row r="160" spans="1:10">
      <c r="A160" s="216"/>
      <c r="B160" s="216"/>
      <c r="C160" s="216"/>
      <c r="D160" s="216"/>
      <c r="E160" s="216"/>
      <c r="F160" s="216"/>
      <c r="G160" s="216"/>
      <c r="H160" s="216"/>
      <c r="I160" s="216"/>
      <c r="J160" s="216"/>
    </row>
    <row r="161" spans="1:10">
      <c r="A161" s="216"/>
      <c r="B161" s="216"/>
      <c r="C161" s="216"/>
      <c r="D161" s="216"/>
      <c r="E161" s="216"/>
      <c r="F161" s="216"/>
      <c r="G161" s="216"/>
      <c r="H161" s="216"/>
      <c r="I161" s="216"/>
      <c r="J161" s="216"/>
    </row>
    <row r="162" spans="1:10">
      <c r="A162" s="216"/>
      <c r="B162" s="216"/>
      <c r="C162" s="216"/>
      <c r="D162" s="216"/>
      <c r="E162" s="216"/>
      <c r="F162" s="216"/>
      <c r="G162" s="216"/>
      <c r="H162" s="216"/>
      <c r="I162" s="216"/>
      <c r="J162" s="216"/>
    </row>
    <row r="163" spans="1:10">
      <c r="A163" s="216"/>
      <c r="B163" s="216"/>
      <c r="C163" s="216"/>
      <c r="D163" s="216"/>
      <c r="E163" s="216"/>
      <c r="F163" s="216"/>
      <c r="G163" s="216"/>
      <c r="H163" s="216"/>
      <c r="I163" s="216"/>
      <c r="J163" s="216"/>
    </row>
    <row r="164" spans="1:10">
      <c r="A164" s="216"/>
      <c r="B164" s="216"/>
      <c r="C164" s="216"/>
      <c r="D164" s="216"/>
      <c r="E164" s="216"/>
      <c r="F164" s="216"/>
      <c r="G164" s="216"/>
      <c r="H164" s="216"/>
      <c r="I164" s="216"/>
      <c r="J164" s="216"/>
    </row>
    <row r="165" spans="1:10">
      <c r="A165" s="216"/>
      <c r="B165" s="216"/>
      <c r="C165" s="216"/>
      <c r="D165" s="216"/>
      <c r="E165" s="216"/>
      <c r="F165" s="216"/>
      <c r="G165" s="216"/>
      <c r="H165" s="216"/>
      <c r="I165" s="216"/>
      <c r="J165" s="216"/>
    </row>
    <row r="166" spans="1:10">
      <c r="A166" s="216"/>
      <c r="B166" s="216"/>
      <c r="C166" s="216"/>
      <c r="D166" s="216"/>
      <c r="E166" s="216"/>
      <c r="F166" s="216"/>
      <c r="G166" s="216"/>
      <c r="H166" s="216"/>
      <c r="I166" s="216"/>
      <c r="J166" s="216"/>
    </row>
    <row r="167" spans="1:10">
      <c r="A167" s="216"/>
      <c r="B167" s="216"/>
      <c r="C167" s="216"/>
      <c r="D167" s="216"/>
      <c r="E167" s="216"/>
      <c r="F167" s="216"/>
      <c r="G167" s="216"/>
      <c r="H167" s="216"/>
      <c r="I167" s="216"/>
      <c r="J167" s="216"/>
    </row>
    <row r="168" spans="1:10">
      <c r="A168" s="216"/>
      <c r="B168" s="216"/>
      <c r="C168" s="216"/>
      <c r="D168" s="216"/>
      <c r="E168" s="216"/>
      <c r="F168" s="216"/>
      <c r="G168" s="216"/>
      <c r="H168" s="216"/>
      <c r="I168" s="216"/>
      <c r="J168" s="216"/>
    </row>
    <row r="169" spans="1:10">
      <c r="A169" s="216"/>
      <c r="B169" s="216"/>
      <c r="C169" s="216"/>
      <c r="D169" s="216"/>
      <c r="E169" s="216"/>
      <c r="F169" s="216"/>
      <c r="G169" s="216"/>
      <c r="H169" s="216"/>
      <c r="I169" s="216"/>
      <c r="J169" s="216"/>
    </row>
    <row r="170" spans="1:10">
      <c r="A170" s="216"/>
      <c r="B170" s="216"/>
      <c r="C170" s="216"/>
      <c r="D170" s="216"/>
      <c r="E170" s="216"/>
      <c r="F170" s="216"/>
      <c r="G170" s="216"/>
      <c r="H170" s="216"/>
      <c r="I170" s="216"/>
      <c r="J170" s="216"/>
    </row>
    <row r="171" spans="1:10">
      <c r="A171" s="216"/>
      <c r="B171" s="216"/>
      <c r="C171" s="216"/>
      <c r="D171" s="216"/>
      <c r="E171" s="216"/>
      <c r="F171" s="216"/>
      <c r="G171" s="216"/>
      <c r="H171" s="216"/>
      <c r="I171" s="216"/>
      <c r="J171" s="216"/>
    </row>
    <row r="172" spans="1:10">
      <c r="A172" s="216"/>
      <c r="B172" s="216"/>
      <c r="C172" s="216"/>
      <c r="D172" s="216"/>
      <c r="E172" s="216"/>
      <c r="F172" s="216"/>
      <c r="G172" s="216"/>
      <c r="H172" s="216"/>
      <c r="I172" s="216"/>
      <c r="J172" s="216"/>
    </row>
    <row r="173" spans="1:10">
      <c r="A173" s="216"/>
      <c r="B173" s="216"/>
      <c r="C173" s="216"/>
      <c r="D173" s="216"/>
      <c r="E173" s="216"/>
      <c r="F173" s="216"/>
      <c r="G173" s="216"/>
      <c r="H173" s="216"/>
      <c r="I173" s="216"/>
      <c r="J173" s="216"/>
    </row>
    <row r="174" spans="1:10">
      <c r="A174" s="216"/>
      <c r="B174" s="216"/>
      <c r="C174" s="216"/>
      <c r="D174" s="216"/>
      <c r="E174" s="216"/>
      <c r="F174" s="216"/>
      <c r="G174" s="216"/>
      <c r="H174" s="216"/>
      <c r="I174" s="216"/>
      <c r="J174" s="216"/>
    </row>
    <row r="175" spans="1:10">
      <c r="A175" s="216"/>
      <c r="B175" s="216"/>
      <c r="C175" s="216"/>
      <c r="D175" s="216"/>
      <c r="E175" s="216"/>
      <c r="F175" s="216"/>
      <c r="G175" s="216"/>
      <c r="H175" s="216"/>
      <c r="I175" s="216"/>
      <c r="J175" s="216"/>
    </row>
    <row r="176" spans="1:10">
      <c r="A176" s="216"/>
      <c r="B176" s="216"/>
      <c r="C176" s="216"/>
      <c r="D176" s="216"/>
      <c r="E176" s="216"/>
      <c r="F176" s="216"/>
      <c r="G176" s="216"/>
      <c r="H176" s="216"/>
      <c r="I176" s="216"/>
      <c r="J176" s="216"/>
    </row>
    <row r="177" spans="1:10">
      <c r="A177" s="216"/>
      <c r="B177" s="216"/>
      <c r="C177" s="216"/>
      <c r="D177" s="216"/>
      <c r="E177" s="216"/>
      <c r="F177" s="216"/>
      <c r="G177" s="216"/>
      <c r="H177" s="216"/>
      <c r="I177" s="216"/>
      <c r="J177" s="216"/>
    </row>
    <row r="178" spans="1:10">
      <c r="A178" s="216"/>
      <c r="B178" s="216"/>
      <c r="C178" s="216"/>
      <c r="D178" s="216"/>
      <c r="E178" s="216"/>
      <c r="F178" s="216"/>
      <c r="G178" s="216"/>
      <c r="H178" s="216"/>
      <c r="I178" s="216"/>
      <c r="J178" s="216"/>
    </row>
    <row r="179" spans="1:10">
      <c r="A179" s="216"/>
      <c r="B179" s="216"/>
      <c r="C179" s="216"/>
      <c r="D179" s="216"/>
      <c r="E179" s="216"/>
      <c r="F179" s="216"/>
      <c r="G179" s="216"/>
      <c r="H179" s="216"/>
      <c r="I179" s="216"/>
      <c r="J179" s="216"/>
    </row>
    <row r="180" spans="1:10">
      <c r="A180" s="216"/>
      <c r="B180" s="216"/>
      <c r="C180" s="216"/>
      <c r="D180" s="216"/>
      <c r="E180" s="216"/>
      <c r="F180" s="216"/>
      <c r="G180" s="216"/>
      <c r="H180" s="216"/>
      <c r="I180" s="216"/>
      <c r="J180" s="216"/>
    </row>
    <row r="181" spans="1:10">
      <c r="A181" s="216"/>
      <c r="B181" s="216"/>
      <c r="C181" s="216"/>
      <c r="D181" s="216"/>
      <c r="E181" s="216"/>
      <c r="F181" s="216"/>
      <c r="G181" s="216"/>
      <c r="H181" s="216"/>
      <c r="I181" s="216"/>
      <c r="J181" s="216"/>
    </row>
    <row r="182" spans="1:10">
      <c r="A182" s="216"/>
      <c r="B182" s="216"/>
      <c r="C182" s="216"/>
      <c r="D182" s="216"/>
      <c r="E182" s="216"/>
      <c r="F182" s="216"/>
      <c r="G182" s="216"/>
      <c r="H182" s="216"/>
      <c r="I182" s="216"/>
      <c r="J182" s="216"/>
    </row>
    <row r="183" spans="1:10">
      <c r="A183" s="216"/>
      <c r="B183" s="216"/>
      <c r="C183" s="216"/>
      <c r="D183" s="216"/>
      <c r="E183" s="216"/>
      <c r="F183" s="216"/>
      <c r="G183" s="216"/>
      <c r="H183" s="216"/>
      <c r="I183" s="216"/>
      <c r="J183" s="216"/>
    </row>
    <row r="184" spans="1:10">
      <c r="A184" s="216"/>
      <c r="B184" s="216"/>
      <c r="C184" s="216"/>
      <c r="D184" s="216"/>
      <c r="E184" s="216"/>
      <c r="F184" s="216"/>
      <c r="G184" s="216"/>
      <c r="H184" s="216"/>
      <c r="I184" s="216"/>
      <c r="J184" s="216"/>
    </row>
    <row r="185" spans="1:10">
      <c r="A185" s="216"/>
      <c r="B185" s="216"/>
      <c r="C185" s="216"/>
      <c r="D185" s="216"/>
      <c r="E185" s="216"/>
      <c r="F185" s="216"/>
      <c r="G185" s="216"/>
      <c r="H185" s="216"/>
      <c r="I185" s="216"/>
      <c r="J185" s="216"/>
    </row>
    <row r="186" spans="1:10">
      <c r="A186" s="216"/>
      <c r="B186" s="216"/>
      <c r="C186" s="216"/>
      <c r="D186" s="216"/>
      <c r="E186" s="216"/>
      <c r="F186" s="216"/>
      <c r="G186" s="216"/>
      <c r="H186" s="216"/>
      <c r="I186" s="216"/>
      <c r="J186" s="216"/>
    </row>
    <row r="187" spans="1:10">
      <c r="A187" s="216"/>
      <c r="B187" s="216"/>
      <c r="C187" s="216"/>
      <c r="D187" s="216"/>
      <c r="E187" s="216"/>
      <c r="F187" s="216"/>
      <c r="G187" s="216"/>
      <c r="H187" s="216"/>
      <c r="I187" s="216"/>
      <c r="J187" s="216"/>
    </row>
    <row r="188" spans="1:10">
      <c r="A188" s="216"/>
      <c r="B188" s="216"/>
      <c r="C188" s="216"/>
      <c r="D188" s="216"/>
      <c r="E188" s="216"/>
      <c r="F188" s="216"/>
      <c r="G188" s="216"/>
      <c r="H188" s="216"/>
      <c r="I188" s="216"/>
      <c r="J188" s="216"/>
    </row>
    <row r="189" spans="1:10">
      <c r="A189" s="216"/>
      <c r="B189" s="216"/>
      <c r="C189" s="216"/>
      <c r="D189" s="216"/>
      <c r="E189" s="216"/>
      <c r="F189" s="216"/>
      <c r="G189" s="216"/>
      <c r="H189" s="216"/>
      <c r="I189" s="216"/>
      <c r="J189" s="216"/>
    </row>
    <row r="190" spans="1:10">
      <c r="A190" s="216"/>
      <c r="B190" s="216"/>
      <c r="C190" s="216"/>
      <c r="D190" s="216"/>
      <c r="E190" s="216"/>
      <c r="F190" s="216"/>
      <c r="G190" s="216"/>
      <c r="H190" s="216"/>
      <c r="I190" s="216"/>
      <c r="J190" s="216"/>
    </row>
    <row r="191" spans="1:10">
      <c r="A191" s="216"/>
      <c r="B191" s="216"/>
      <c r="C191" s="216"/>
      <c r="D191" s="216"/>
      <c r="E191" s="216"/>
      <c r="F191" s="216"/>
      <c r="G191" s="216"/>
      <c r="H191" s="216"/>
      <c r="I191" s="216"/>
      <c r="J191" s="216"/>
    </row>
    <row r="192" spans="1:10">
      <c r="A192" s="216"/>
      <c r="B192" s="216"/>
      <c r="C192" s="216"/>
      <c r="D192" s="216"/>
      <c r="E192" s="216"/>
      <c r="F192" s="216"/>
      <c r="G192" s="216"/>
      <c r="H192" s="216"/>
      <c r="I192" s="216"/>
      <c r="J192" s="216"/>
    </row>
    <row r="193" spans="1:10">
      <c r="A193" s="216"/>
      <c r="B193" s="216"/>
      <c r="C193" s="216"/>
      <c r="D193" s="216"/>
      <c r="E193" s="216"/>
      <c r="F193" s="216"/>
      <c r="G193" s="216"/>
      <c r="H193" s="216"/>
      <c r="I193" s="216"/>
      <c r="J193" s="216"/>
    </row>
    <row r="194" spans="1:10">
      <c r="A194" s="216"/>
      <c r="B194" s="216"/>
      <c r="C194" s="216"/>
      <c r="D194" s="216"/>
      <c r="E194" s="216"/>
      <c r="F194" s="216"/>
      <c r="G194" s="216"/>
      <c r="H194" s="216"/>
      <c r="I194" s="216"/>
      <c r="J194" s="216"/>
    </row>
    <row r="195" spans="1:10">
      <c r="A195" s="216"/>
      <c r="B195" s="216"/>
      <c r="C195" s="216"/>
      <c r="D195" s="216"/>
      <c r="E195" s="216"/>
      <c r="F195" s="216"/>
      <c r="G195" s="216"/>
      <c r="H195" s="216"/>
      <c r="I195" s="216"/>
      <c r="J195" s="216"/>
    </row>
    <row r="196" spans="1:10">
      <c r="A196" s="216"/>
      <c r="B196" s="216"/>
      <c r="C196" s="216"/>
      <c r="D196" s="216"/>
      <c r="E196" s="216"/>
      <c r="F196" s="216"/>
      <c r="G196" s="216"/>
      <c r="H196" s="216"/>
      <c r="I196" s="216"/>
      <c r="J196" s="216"/>
    </row>
    <row r="197" spans="1:10">
      <c r="A197" s="216"/>
      <c r="B197" s="216"/>
      <c r="C197" s="216"/>
      <c r="D197" s="216"/>
      <c r="E197" s="216"/>
      <c r="F197" s="216"/>
      <c r="G197" s="216"/>
      <c r="H197" s="216"/>
      <c r="I197" s="216"/>
      <c r="J197" s="216"/>
    </row>
    <row r="198" spans="1:10">
      <c r="A198" s="216"/>
      <c r="B198" s="216"/>
      <c r="C198" s="216"/>
      <c r="D198" s="216"/>
      <c r="E198" s="216"/>
      <c r="F198" s="216"/>
      <c r="G198" s="216"/>
      <c r="H198" s="216"/>
      <c r="I198" s="216"/>
      <c r="J198" s="216"/>
    </row>
    <row r="199" spans="1:10">
      <c r="A199" s="216"/>
      <c r="B199" s="216"/>
      <c r="C199" s="216"/>
      <c r="D199" s="216"/>
      <c r="E199" s="216"/>
      <c r="F199" s="216"/>
      <c r="G199" s="216"/>
      <c r="H199" s="216"/>
      <c r="I199" s="216"/>
      <c r="J199" s="216"/>
    </row>
    <row r="200" spans="1:10">
      <c r="A200" s="216"/>
      <c r="B200" s="216"/>
      <c r="C200" s="216"/>
      <c r="D200" s="216"/>
      <c r="E200" s="216"/>
      <c r="F200" s="216"/>
      <c r="G200" s="216"/>
      <c r="H200" s="216"/>
      <c r="I200" s="216"/>
      <c r="J200" s="216"/>
    </row>
    <row r="201" spans="1:10">
      <c r="A201" s="216"/>
      <c r="B201" s="216"/>
      <c r="C201" s="216"/>
      <c r="D201" s="216"/>
      <c r="E201" s="216"/>
      <c r="F201" s="216"/>
      <c r="G201" s="216"/>
      <c r="H201" s="216"/>
      <c r="I201" s="216"/>
      <c r="J201" s="216"/>
    </row>
    <row r="202" spans="1:10">
      <c r="A202" s="216"/>
      <c r="B202" s="216"/>
      <c r="C202" s="216"/>
      <c r="D202" s="216"/>
      <c r="E202" s="216"/>
      <c r="F202" s="216"/>
      <c r="G202" s="216"/>
      <c r="H202" s="216"/>
      <c r="I202" s="216"/>
      <c r="J202" s="216"/>
    </row>
    <row r="203" spans="1:10">
      <c r="A203" s="216"/>
      <c r="B203" s="216"/>
      <c r="C203" s="216"/>
      <c r="D203" s="216"/>
      <c r="E203" s="216"/>
      <c r="F203" s="216"/>
      <c r="G203" s="216"/>
      <c r="H203" s="216"/>
      <c r="I203" s="216"/>
      <c r="J203" s="216"/>
    </row>
    <row r="204" spans="1:10">
      <c r="A204" s="216"/>
      <c r="B204" s="216"/>
      <c r="C204" s="216"/>
      <c r="D204" s="216"/>
      <c r="E204" s="216"/>
      <c r="F204" s="216"/>
      <c r="G204" s="216"/>
      <c r="H204" s="216"/>
      <c r="I204" s="216"/>
      <c r="J204" s="216"/>
    </row>
    <row r="205" spans="1:10">
      <c r="A205" s="216"/>
      <c r="B205" s="216"/>
      <c r="C205" s="216"/>
      <c r="D205" s="216"/>
      <c r="E205" s="216"/>
      <c r="F205" s="216"/>
      <c r="G205" s="216"/>
      <c r="H205" s="216"/>
      <c r="I205" s="216"/>
      <c r="J205" s="216"/>
    </row>
    <row r="206" spans="1:10">
      <c r="A206" s="216"/>
      <c r="B206" s="216"/>
      <c r="C206" s="216"/>
      <c r="D206" s="216"/>
      <c r="E206" s="216"/>
      <c r="F206" s="216"/>
      <c r="G206" s="216"/>
      <c r="H206" s="216"/>
      <c r="I206" s="216"/>
      <c r="J206" s="216"/>
    </row>
    <row r="207" spans="1:10">
      <c r="A207" s="216"/>
      <c r="B207" s="216"/>
      <c r="C207" s="216"/>
      <c r="D207" s="216"/>
      <c r="E207" s="216"/>
      <c r="F207" s="216"/>
      <c r="G207" s="216"/>
      <c r="H207" s="216"/>
      <c r="I207" s="216"/>
      <c r="J207" s="216"/>
    </row>
    <row r="208" spans="1:10">
      <c r="A208" s="216"/>
      <c r="B208" s="216"/>
      <c r="C208" s="216"/>
      <c r="D208" s="216"/>
      <c r="E208" s="216"/>
      <c r="F208" s="216"/>
      <c r="G208" s="216"/>
      <c r="H208" s="216"/>
      <c r="I208" s="216"/>
      <c r="J208" s="216"/>
    </row>
    <row r="209" spans="1:10">
      <c r="A209" s="216"/>
      <c r="B209" s="216"/>
      <c r="C209" s="216"/>
      <c r="D209" s="216"/>
      <c r="E209" s="216"/>
      <c r="F209" s="216"/>
      <c r="G209" s="216"/>
      <c r="H209" s="216"/>
      <c r="I209" s="216"/>
      <c r="J209" s="216"/>
    </row>
    <row r="210" spans="1:10">
      <c r="A210" s="216"/>
      <c r="B210" s="216"/>
      <c r="C210" s="216"/>
      <c r="D210" s="216"/>
      <c r="E210" s="216"/>
      <c r="F210" s="216"/>
      <c r="G210" s="216"/>
      <c r="H210" s="216"/>
      <c r="I210" s="216"/>
      <c r="J210" s="216"/>
    </row>
    <row r="211" spans="1:10">
      <c r="A211" s="216"/>
      <c r="B211" s="216"/>
      <c r="C211" s="216"/>
      <c r="D211" s="216"/>
      <c r="E211" s="216"/>
      <c r="F211" s="216"/>
      <c r="G211" s="216"/>
      <c r="H211" s="216"/>
      <c r="I211" s="216"/>
      <c r="J211" s="216"/>
    </row>
    <row r="212" spans="1:10">
      <c r="A212" s="216"/>
      <c r="B212" s="216"/>
      <c r="C212" s="216"/>
      <c r="D212" s="216"/>
      <c r="E212" s="216"/>
      <c r="F212" s="216"/>
      <c r="G212" s="216"/>
      <c r="H212" s="216"/>
      <c r="I212" s="216"/>
      <c r="J212" s="216"/>
    </row>
    <row r="213" spans="1:10">
      <c r="A213" s="216"/>
      <c r="B213" s="216"/>
      <c r="C213" s="216"/>
      <c r="D213" s="216"/>
      <c r="E213" s="216"/>
      <c r="F213" s="216"/>
      <c r="G213" s="216"/>
      <c r="H213" s="216"/>
      <c r="I213" s="216"/>
      <c r="J213" s="216"/>
    </row>
    <row r="214" spans="1:10">
      <c r="A214" s="216"/>
      <c r="B214" s="216"/>
      <c r="C214" s="216"/>
      <c r="D214" s="216"/>
      <c r="E214" s="216"/>
      <c r="F214" s="216"/>
      <c r="G214" s="216"/>
      <c r="H214" s="216"/>
      <c r="I214" s="216"/>
      <c r="J214" s="216"/>
    </row>
    <row r="215" spans="1:10">
      <c r="A215" s="216"/>
      <c r="B215" s="216"/>
      <c r="C215" s="216"/>
      <c r="D215" s="216"/>
      <c r="E215" s="216"/>
      <c r="F215" s="216"/>
      <c r="G215" s="216"/>
      <c r="H215" s="216"/>
      <c r="I215" s="216"/>
      <c r="J215" s="216"/>
    </row>
    <row r="216" spans="1:10">
      <c r="A216" s="216"/>
      <c r="B216" s="216"/>
      <c r="C216" s="216"/>
      <c r="D216" s="216"/>
      <c r="E216" s="216"/>
      <c r="F216" s="216"/>
      <c r="G216" s="216"/>
      <c r="H216" s="216"/>
      <c r="I216" s="216"/>
      <c r="J216" s="216"/>
    </row>
    <row r="217" spans="1:10">
      <c r="A217" s="216"/>
      <c r="B217" s="216"/>
      <c r="C217" s="216"/>
      <c r="D217" s="216"/>
      <c r="E217" s="216"/>
      <c r="F217" s="216"/>
      <c r="G217" s="216"/>
      <c r="H217" s="216"/>
      <c r="I217" s="216"/>
      <c r="J217" s="216"/>
    </row>
    <row r="218" spans="1:10">
      <c r="A218" s="216"/>
      <c r="B218" s="216"/>
      <c r="C218" s="216"/>
      <c r="D218" s="216"/>
      <c r="E218" s="216"/>
      <c r="F218" s="216"/>
      <c r="G218" s="216"/>
      <c r="H218" s="216"/>
      <c r="I218" s="216"/>
      <c r="J218" s="216"/>
    </row>
    <row r="219" spans="1:10">
      <c r="A219" s="216"/>
      <c r="B219" s="216"/>
      <c r="C219" s="216"/>
      <c r="D219" s="216"/>
      <c r="E219" s="216"/>
      <c r="F219" s="216"/>
      <c r="G219" s="216"/>
      <c r="H219" s="216"/>
      <c r="I219" s="216"/>
      <c r="J219" s="216"/>
    </row>
    <row r="220" spans="1:10">
      <c r="A220" s="216"/>
      <c r="B220" s="216"/>
      <c r="C220" s="216"/>
      <c r="D220" s="216"/>
      <c r="E220" s="216"/>
      <c r="F220" s="216"/>
      <c r="G220" s="216"/>
      <c r="H220" s="216"/>
      <c r="I220" s="216"/>
      <c r="J220" s="216"/>
    </row>
    <row r="221" spans="1:10">
      <c r="A221" s="216"/>
      <c r="B221" s="216"/>
      <c r="C221" s="216"/>
      <c r="D221" s="216"/>
      <c r="E221" s="216"/>
      <c r="F221" s="216"/>
      <c r="G221" s="216"/>
      <c r="H221" s="216"/>
      <c r="I221" s="216"/>
      <c r="J221" s="216"/>
    </row>
    <row r="222" spans="1:10">
      <c r="A222" s="216"/>
      <c r="B222" s="216"/>
      <c r="C222" s="216"/>
      <c r="D222" s="216"/>
      <c r="E222" s="216"/>
      <c r="F222" s="216"/>
      <c r="G222" s="216"/>
      <c r="H222" s="216"/>
      <c r="I222" s="216"/>
      <c r="J222" s="216"/>
    </row>
    <row r="223" spans="1:10">
      <c r="A223" s="216"/>
      <c r="B223" s="216"/>
      <c r="C223" s="216"/>
      <c r="D223" s="216"/>
      <c r="E223" s="216"/>
      <c r="F223" s="216"/>
      <c r="G223" s="216"/>
      <c r="H223" s="216"/>
      <c r="I223" s="216"/>
      <c r="J223" s="216"/>
    </row>
    <row r="224" spans="1:10">
      <c r="A224" s="216"/>
      <c r="B224" s="216"/>
      <c r="C224" s="216"/>
      <c r="D224" s="216"/>
      <c r="E224" s="216"/>
      <c r="F224" s="216"/>
      <c r="G224" s="216"/>
      <c r="H224" s="216"/>
      <c r="I224" s="216"/>
      <c r="J224" s="216"/>
    </row>
    <row r="225" spans="1:10">
      <c r="A225" s="216"/>
      <c r="B225" s="216"/>
      <c r="C225" s="216"/>
      <c r="D225" s="216"/>
      <c r="E225" s="216"/>
      <c r="F225" s="216"/>
      <c r="G225" s="216"/>
      <c r="H225" s="216"/>
      <c r="I225" s="216"/>
      <c r="J225" s="216"/>
    </row>
    <row r="226" spans="1:10">
      <c r="A226" s="216"/>
      <c r="B226" s="216"/>
      <c r="C226" s="216"/>
      <c r="D226" s="216"/>
      <c r="E226" s="216"/>
      <c r="F226" s="216"/>
      <c r="G226" s="216"/>
      <c r="H226" s="216"/>
      <c r="I226" s="216"/>
      <c r="J226" s="2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2:G47"/>
  <sheetViews>
    <sheetView zoomScaleNormal="100" workbookViewId="0">
      <selection activeCell="D13" sqref="D13:E13"/>
    </sheetView>
  </sheetViews>
  <sheetFormatPr defaultColWidth="9.109375" defaultRowHeight="11.4"/>
  <cols>
    <col min="1" max="1" width="4.33203125" style="44" customWidth="1"/>
    <col min="2" max="2" width="34.33203125" style="44" customWidth="1"/>
    <col min="3" max="3" width="10.88671875" style="44" customWidth="1"/>
    <col min="4" max="4" width="11.6640625" style="44" customWidth="1"/>
    <col min="5" max="5" width="12.88671875" style="44" customWidth="1"/>
    <col min="6" max="16384" width="9.109375" style="44"/>
  </cols>
  <sheetData>
    <row r="2" spans="1:7" ht="12.75" customHeight="1">
      <c r="C2" s="346" t="s">
        <v>348</v>
      </c>
      <c r="D2" s="346"/>
      <c r="E2" s="346"/>
      <c r="F2" s="346"/>
      <c r="G2" s="346"/>
    </row>
    <row r="3" spans="1:7" ht="12" customHeight="1">
      <c r="C3" s="346"/>
      <c r="D3" s="346"/>
      <c r="E3" s="346"/>
      <c r="F3" s="346"/>
      <c r="G3" s="346"/>
    </row>
    <row r="4" spans="1:7">
      <c r="C4" s="346"/>
      <c r="D4" s="346"/>
      <c r="E4" s="346"/>
      <c r="F4" s="346"/>
      <c r="G4" s="346"/>
    </row>
    <row r="6" spans="1:7" ht="12">
      <c r="A6" s="45" t="s">
        <v>278</v>
      </c>
      <c r="B6" s="46"/>
      <c r="C6" s="46"/>
      <c r="D6" s="46"/>
      <c r="E6" s="46"/>
      <c r="F6" s="46"/>
    </row>
    <row r="7" spans="1:7" ht="12">
      <c r="A7" s="46"/>
      <c r="B7" s="47" t="s">
        <v>279</v>
      </c>
      <c r="C7" s="47" t="s">
        <v>280</v>
      </c>
      <c r="D7" s="347" t="s">
        <v>227</v>
      </c>
      <c r="E7" s="347"/>
      <c r="F7" s="47" t="s">
        <v>281</v>
      </c>
    </row>
    <row r="8" spans="1:7" ht="13.8">
      <c r="A8" s="46"/>
      <c r="B8" s="48" t="s">
        <v>282</v>
      </c>
      <c r="C8" s="49" t="s">
        <v>317</v>
      </c>
      <c r="D8" s="339">
        <f>MeasuredLifetime</f>
        <v>363.87198498951619</v>
      </c>
      <c r="E8" s="339"/>
      <c r="F8" s="50" t="s">
        <v>318</v>
      </c>
    </row>
    <row r="9" spans="1:7" ht="13.2">
      <c r="A9" s="46"/>
      <c r="B9" s="48" t="s">
        <v>349</v>
      </c>
      <c r="C9" s="50" t="s">
        <v>319</v>
      </c>
      <c r="D9" s="338">
        <f>SpecMCD</f>
        <v>1000000000000000</v>
      </c>
      <c r="E9" s="338"/>
      <c r="F9" s="50" t="s">
        <v>320</v>
      </c>
    </row>
    <row r="10" spans="1:7" ht="12">
      <c r="A10" s="62"/>
      <c r="B10" s="48" t="s">
        <v>350</v>
      </c>
      <c r="C10" s="61" t="s">
        <v>351</v>
      </c>
      <c r="D10" s="330">
        <f>SheetResistance</f>
        <v>896.43721466027193</v>
      </c>
      <c r="E10" s="331"/>
      <c r="F10" s="61" t="s">
        <v>351</v>
      </c>
    </row>
    <row r="11" spans="1:7">
      <c r="A11" s="46"/>
      <c r="B11" s="48" t="s">
        <v>333</v>
      </c>
      <c r="C11" s="54" t="s">
        <v>288</v>
      </c>
      <c r="D11" s="337" t="s">
        <v>288</v>
      </c>
      <c r="E11" s="338"/>
      <c r="F11" s="54" t="s">
        <v>288</v>
      </c>
    </row>
    <row r="12" spans="1:7" ht="13.2">
      <c r="A12" s="46"/>
      <c r="B12" s="51" t="s">
        <v>283</v>
      </c>
      <c r="C12" s="50" t="s">
        <v>284</v>
      </c>
      <c r="D12" s="352"/>
      <c r="E12" s="352"/>
      <c r="F12" s="50" t="s">
        <v>321</v>
      </c>
    </row>
    <row r="13" spans="1:7" ht="13.8">
      <c r="A13" s="46"/>
      <c r="B13" s="51" t="s">
        <v>334</v>
      </c>
      <c r="C13" s="52" t="s">
        <v>322</v>
      </c>
      <c r="D13" s="352"/>
      <c r="E13" s="352"/>
      <c r="F13" s="50" t="s">
        <v>318</v>
      </c>
    </row>
    <row r="14" spans="1:7" ht="15">
      <c r="A14" s="46"/>
      <c r="B14" s="51" t="s">
        <v>335</v>
      </c>
      <c r="C14" s="50" t="s">
        <v>323</v>
      </c>
      <c r="D14" s="353">
        <f>Jo</f>
        <v>1.1968272322696375E-12</v>
      </c>
      <c r="E14" s="353"/>
      <c r="F14" s="50" t="s">
        <v>324</v>
      </c>
    </row>
    <row r="15" spans="1:7" ht="6.75" customHeight="1">
      <c r="A15" s="46"/>
      <c r="B15" s="46"/>
      <c r="C15" s="46"/>
      <c r="D15" s="354"/>
      <c r="E15" s="354"/>
      <c r="F15" s="46"/>
    </row>
    <row r="16" spans="1:7" ht="12">
      <c r="A16" s="45" t="s">
        <v>285</v>
      </c>
      <c r="C16" s="46"/>
      <c r="D16" s="354"/>
      <c r="E16" s="354"/>
      <c r="F16" s="46"/>
    </row>
    <row r="17" spans="1:6" ht="12">
      <c r="A17" s="46"/>
      <c r="B17" s="47" t="s">
        <v>286</v>
      </c>
      <c r="C17" s="47" t="s">
        <v>280</v>
      </c>
      <c r="D17" s="347" t="s">
        <v>227</v>
      </c>
      <c r="E17" s="347"/>
      <c r="F17" s="47" t="s">
        <v>281</v>
      </c>
    </row>
    <row r="18" spans="1:6">
      <c r="A18" s="46"/>
      <c r="B18" s="53" t="s">
        <v>287</v>
      </c>
      <c r="C18" s="54" t="s">
        <v>288</v>
      </c>
      <c r="D18" s="338" t="str">
        <f>SampleNameUserSheet</f>
        <v>nSi_AlOx10B_450</v>
      </c>
      <c r="E18" s="338"/>
      <c r="F18" s="54" t="s">
        <v>288</v>
      </c>
    </row>
    <row r="19" spans="1:6" ht="12">
      <c r="A19" s="46"/>
      <c r="B19" s="48" t="s">
        <v>289</v>
      </c>
      <c r="C19" s="50" t="s">
        <v>290</v>
      </c>
      <c r="D19" s="338">
        <f>Thickness</f>
        <v>7.0000000000000007E-2</v>
      </c>
      <c r="E19" s="338"/>
      <c r="F19" s="55" t="s">
        <v>291</v>
      </c>
    </row>
    <row r="20" spans="1:6" ht="12">
      <c r="A20" s="46"/>
      <c r="B20" s="48" t="s">
        <v>292</v>
      </c>
      <c r="C20" s="50" t="s">
        <v>293</v>
      </c>
      <c r="D20" s="352"/>
      <c r="E20" s="352"/>
      <c r="F20" s="50" t="s">
        <v>325</v>
      </c>
    </row>
    <row r="21" spans="1:6" ht="15">
      <c r="A21" s="46"/>
      <c r="B21" s="48" t="s">
        <v>294</v>
      </c>
      <c r="C21" s="50" t="s">
        <v>326</v>
      </c>
      <c r="D21" s="353">
        <f>SampleDoping</f>
        <v>110920962330208.83</v>
      </c>
      <c r="E21" s="353"/>
      <c r="F21" s="50" t="s">
        <v>320</v>
      </c>
    </row>
    <row r="22" spans="1:6">
      <c r="A22" s="46"/>
      <c r="B22" s="48" t="s">
        <v>295</v>
      </c>
      <c r="C22" s="50" t="s">
        <v>296</v>
      </c>
      <c r="D22" s="338" t="str">
        <f>SampleType</f>
        <v>n-type</v>
      </c>
      <c r="E22" s="338"/>
      <c r="F22" s="50"/>
    </row>
    <row r="23" spans="1:6">
      <c r="A23" s="46"/>
      <c r="B23" s="48" t="s">
        <v>297</v>
      </c>
      <c r="C23" s="54" t="s">
        <v>288</v>
      </c>
      <c r="D23" s="352"/>
      <c r="E23" s="352"/>
      <c r="F23" s="50"/>
    </row>
    <row r="24" spans="1:6">
      <c r="A24" s="46"/>
      <c r="B24" s="48" t="s">
        <v>298</v>
      </c>
      <c r="C24" s="54" t="s">
        <v>288</v>
      </c>
      <c r="D24" s="355"/>
      <c r="E24" s="352"/>
      <c r="F24" s="54"/>
    </row>
    <row r="25" spans="1:6">
      <c r="A25" s="46"/>
      <c r="B25" s="51" t="s">
        <v>299</v>
      </c>
      <c r="C25" s="54" t="s">
        <v>288</v>
      </c>
      <c r="D25" s="352"/>
      <c r="E25" s="352"/>
      <c r="F25" s="50"/>
    </row>
    <row r="26" spans="1:6">
      <c r="A26" s="46"/>
      <c r="B26" s="51" t="s">
        <v>300</v>
      </c>
      <c r="C26" s="54" t="s">
        <v>288</v>
      </c>
      <c r="D26" s="352"/>
      <c r="E26" s="352"/>
      <c r="F26" s="50"/>
    </row>
    <row r="27" spans="1:6" ht="5.25" customHeight="1">
      <c r="A27" s="46"/>
      <c r="B27" s="46"/>
      <c r="C27" s="46"/>
      <c r="D27" s="46"/>
      <c r="E27" s="46"/>
      <c r="F27" s="46"/>
    </row>
    <row r="28" spans="1:6" ht="12">
      <c r="A28" s="45" t="s">
        <v>301</v>
      </c>
      <c r="C28" s="46"/>
      <c r="D28" s="46"/>
      <c r="E28" s="46"/>
      <c r="F28" s="46"/>
    </row>
    <row r="29" spans="1:6">
      <c r="A29" s="46"/>
      <c r="B29" s="56" t="str">
        <f>IF(AnalysisMode="Transient","X     ","")</f>
        <v/>
      </c>
      <c r="C29" s="57" t="s">
        <v>65</v>
      </c>
      <c r="D29" s="46"/>
      <c r="E29" s="46"/>
      <c r="F29" s="46"/>
    </row>
    <row r="30" spans="1:6">
      <c r="B30" s="56" t="str">
        <f>IF(AnalysisMode="QSS","X     ","")</f>
        <v/>
      </c>
      <c r="C30" s="57" t="s">
        <v>302</v>
      </c>
      <c r="F30" s="46"/>
    </row>
    <row r="31" spans="1:6">
      <c r="B31" s="56" t="str">
        <f>IF(OR(AnalysisMode="Generalized (1/1)",AnalysisMode="Generalized (1/64)"),"X     ","")</f>
        <v xml:space="preserve">X     </v>
      </c>
      <c r="C31" s="44" t="s">
        <v>130</v>
      </c>
      <c r="F31" s="46"/>
    </row>
    <row r="32" spans="1:6" ht="7.5" customHeight="1">
      <c r="B32" s="58"/>
      <c r="F32" s="46"/>
    </row>
    <row r="33" spans="1:6">
      <c r="A33" s="46"/>
      <c r="B33" s="48" t="s">
        <v>303</v>
      </c>
      <c r="C33" s="348"/>
      <c r="D33" s="349"/>
      <c r="E33" s="350"/>
      <c r="F33" s="46"/>
    </row>
    <row r="34" spans="1:6">
      <c r="A34" s="46"/>
      <c r="B34" s="48" t="s">
        <v>304</v>
      </c>
      <c r="C34" s="342" t="str">
        <f>IF(BiasLight=0,"N/A","Software correction: Bias Light = " &amp;BiasLight &amp;" suns")</f>
        <v>N/A</v>
      </c>
      <c r="D34" s="351"/>
      <c r="E34" s="343"/>
      <c r="F34" s="46"/>
    </row>
    <row r="35" spans="1:6" ht="5.25" customHeight="1">
      <c r="A35" s="46"/>
      <c r="C35" s="46"/>
      <c r="D35" s="46"/>
      <c r="E35" s="46"/>
      <c r="F35" s="46"/>
    </row>
    <row r="36" spans="1:6" ht="12">
      <c r="A36" s="45" t="s">
        <v>305</v>
      </c>
      <c r="C36" s="46"/>
      <c r="D36" s="46"/>
      <c r="E36" s="46"/>
      <c r="F36" s="46"/>
    </row>
    <row r="37" spans="1:6" ht="12">
      <c r="A37" s="46"/>
      <c r="B37" s="344" t="s">
        <v>286</v>
      </c>
      <c r="C37" s="345"/>
      <c r="D37" s="344" t="s">
        <v>227</v>
      </c>
      <c r="E37" s="345"/>
      <c r="F37" s="47" t="s">
        <v>281</v>
      </c>
    </row>
    <row r="38" spans="1:6">
      <c r="A38" s="46"/>
      <c r="B38" s="335" t="s">
        <v>306</v>
      </c>
      <c r="C38" s="336"/>
      <c r="D38" s="342" t="str">
        <f>InstrumentType &amp;", Software v"&amp;User!L2</f>
        <v>WCT-120, Software v4.6.0</v>
      </c>
      <c r="E38" s="343"/>
      <c r="F38" s="54" t="s">
        <v>288</v>
      </c>
    </row>
    <row r="39" spans="1:6">
      <c r="A39" s="46"/>
      <c r="B39" s="335" t="s">
        <v>307</v>
      </c>
      <c r="C39" s="336"/>
      <c r="D39" s="342" t="str">
        <f>InstrumentSN</f>
        <v>WCT-0318</v>
      </c>
      <c r="E39" s="343"/>
      <c r="F39" s="54" t="s">
        <v>288</v>
      </c>
    </row>
    <row r="40" spans="1:6" ht="104.25" customHeight="1">
      <c r="A40" s="46"/>
      <c r="B40" s="335" t="s">
        <v>308</v>
      </c>
      <c r="C40" s="336"/>
      <c r="D40" s="342"/>
      <c r="E40" s="343"/>
      <c r="F40" s="50"/>
    </row>
    <row r="41" spans="1:6" ht="26.25" customHeight="1">
      <c r="A41" s="46"/>
      <c r="B41" s="332" t="s">
        <v>309</v>
      </c>
      <c r="C41" s="333"/>
      <c r="D41" s="340" t="str">
        <f>"Reference Cell Calibration = " &amp;ROUND(RefCellCal,3) &amp;" Optical Constant = " &amp;OptConst</f>
        <v>Reference Cell Calibration = 0.008 Optical Constant = 0.7</v>
      </c>
      <c r="E41" s="341"/>
      <c r="F41" s="59" t="s">
        <v>329</v>
      </c>
    </row>
    <row r="42" spans="1:6">
      <c r="A42" s="46"/>
      <c r="B42" s="335" t="s">
        <v>310</v>
      </c>
      <c r="C42" s="336"/>
      <c r="D42" s="338" t="s">
        <v>311</v>
      </c>
      <c r="E42" s="338"/>
      <c r="F42" s="54" t="s">
        <v>288</v>
      </c>
    </row>
    <row r="43" spans="1:6" ht="24.75" customHeight="1">
      <c r="A43" s="46"/>
      <c r="B43" s="332" t="s">
        <v>327</v>
      </c>
      <c r="C43" s="333"/>
      <c r="D43" s="340" t="str">
        <f>"SEMI PV13 (A,B,C = " &amp;ROUND(A_cal,5) &amp;", "&amp;ROUND(B_cal,5) &amp;", " &amp;ROUND(C_cal,5) &amp;")"</f>
        <v>SEMI PV13 (A,B,C = 0.0002, 0.02769, -0.88568)</v>
      </c>
      <c r="E43" s="341"/>
      <c r="F43" s="54" t="s">
        <v>288</v>
      </c>
    </row>
    <row r="44" spans="1:6">
      <c r="A44" s="46"/>
      <c r="B44" s="335" t="s">
        <v>312</v>
      </c>
      <c r="C44" s="336"/>
      <c r="D44" s="337" t="s">
        <v>288</v>
      </c>
      <c r="E44" s="338"/>
      <c r="F44" s="54" t="s">
        <v>288</v>
      </c>
    </row>
    <row r="45" spans="1:6" ht="13.2">
      <c r="A45" s="46"/>
      <c r="B45" s="332" t="s">
        <v>313</v>
      </c>
      <c r="C45" s="333"/>
      <c r="D45" s="339">
        <f>PI()*(4/2)^2</f>
        <v>12.566370614359172</v>
      </c>
      <c r="E45" s="339"/>
      <c r="F45" s="50" t="s">
        <v>328</v>
      </c>
    </row>
    <row r="46" spans="1:6">
      <c r="A46" s="46"/>
      <c r="B46" s="332" t="s">
        <v>314</v>
      </c>
      <c r="C46" s="333"/>
      <c r="D46" s="338" t="s">
        <v>315</v>
      </c>
      <c r="E46" s="338"/>
      <c r="F46" s="54" t="s">
        <v>288</v>
      </c>
    </row>
    <row r="47" spans="1:6">
      <c r="B47" s="332" t="s">
        <v>330</v>
      </c>
      <c r="C47" s="333"/>
      <c r="D47" s="334"/>
      <c r="E47" s="334"/>
      <c r="F47" s="60"/>
    </row>
  </sheetData>
  <sheetProtection sheet="1" objects="1" scenarios="1" selectLockedCells="1"/>
  <mergeCells count="45">
    <mergeCell ref="D19:E19"/>
    <mergeCell ref="D25:E25"/>
    <mergeCell ref="D26:E26"/>
    <mergeCell ref="D20:E20"/>
    <mergeCell ref="D21:E21"/>
    <mergeCell ref="D22:E22"/>
    <mergeCell ref="D23:E23"/>
    <mergeCell ref="D24:E24"/>
    <mergeCell ref="B42:C42"/>
    <mergeCell ref="D42:E42"/>
    <mergeCell ref="C2:G4"/>
    <mergeCell ref="D7:E7"/>
    <mergeCell ref="D8:E8"/>
    <mergeCell ref="C33:E33"/>
    <mergeCell ref="C34:E34"/>
    <mergeCell ref="D9:E9"/>
    <mergeCell ref="D11:E11"/>
    <mergeCell ref="D12:E12"/>
    <mergeCell ref="D13:E13"/>
    <mergeCell ref="D14:E14"/>
    <mergeCell ref="D15:E15"/>
    <mergeCell ref="D16:E16"/>
    <mergeCell ref="D17:E17"/>
    <mergeCell ref="D18:E18"/>
    <mergeCell ref="D41:E41"/>
    <mergeCell ref="B37:C37"/>
    <mergeCell ref="D37:E37"/>
    <mergeCell ref="B38:C38"/>
    <mergeCell ref="D38:E38"/>
    <mergeCell ref="D10:E10"/>
    <mergeCell ref="B47:C47"/>
    <mergeCell ref="D47:E47"/>
    <mergeCell ref="B44:C44"/>
    <mergeCell ref="D44:E44"/>
    <mergeCell ref="B45:C45"/>
    <mergeCell ref="D45:E45"/>
    <mergeCell ref="B46:C46"/>
    <mergeCell ref="D46:E46"/>
    <mergeCell ref="B43:C43"/>
    <mergeCell ref="D43:E43"/>
    <mergeCell ref="B39:C39"/>
    <mergeCell ref="D39:E39"/>
    <mergeCell ref="B40:C40"/>
    <mergeCell ref="D40:E40"/>
    <mergeCell ref="B41:C41"/>
  </mergeCells>
  <pageMargins left="0.7" right="0.7" top="0.75" bottom="0.75" header="0.3" footer="0.3"/>
  <pageSetup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44"/>
  <sheetViews>
    <sheetView workbookViewId="0">
      <selection activeCell="C3" sqref="C3"/>
    </sheetView>
  </sheetViews>
  <sheetFormatPr defaultColWidth="9.109375" defaultRowHeight="13.2"/>
  <cols>
    <col min="1" max="1" width="9.109375" style="8"/>
    <col min="2" max="2" width="22.44140625" style="8" customWidth="1"/>
    <col min="3" max="3" width="12.33203125" style="8" customWidth="1"/>
    <col min="4" max="4" width="17.6640625" style="8" customWidth="1"/>
    <col min="5" max="5" width="13.109375" style="8" customWidth="1"/>
    <col min="6" max="6" width="11.88671875" style="8" customWidth="1"/>
    <col min="7" max="7" width="19.6640625" style="8" customWidth="1"/>
    <col min="8" max="8" width="13.33203125" style="8" customWidth="1"/>
    <col min="9" max="9" width="12.6640625" style="8" customWidth="1"/>
    <col min="10" max="11" width="9.109375" style="8"/>
    <col min="12" max="12" width="12.44140625" style="8" bestFit="1" customWidth="1"/>
    <col min="13" max="16384" width="9.109375" style="8"/>
  </cols>
  <sheetData>
    <row r="1" spans="1:13" ht="14.25" customHeight="1"/>
    <row r="2" spans="1:13">
      <c r="B2" s="16" t="s">
        <v>226</v>
      </c>
      <c r="C2" s="17" t="s">
        <v>227</v>
      </c>
      <c r="D2" s="17" t="s">
        <v>203</v>
      </c>
      <c r="E2" s="16" t="s">
        <v>228</v>
      </c>
    </row>
    <row r="3" spans="1:13" ht="15.75" customHeight="1">
      <c r="B3" s="8" t="s">
        <v>51</v>
      </c>
      <c r="C3" s="19">
        <v>10</v>
      </c>
      <c r="D3" s="11">
        <f>VLOOKUP(C3,$D$30:$E$37,2,FALSE)</f>
        <v>1</v>
      </c>
      <c r="E3" s="8" t="str">
        <f>" /pcgain="&amp;D3</f>
        <v xml:space="preserve"> /pcgain=1</v>
      </c>
      <c r="F3" s="9"/>
      <c r="G3" s="8" t="s">
        <v>50</v>
      </c>
      <c r="H3" s="12" t="s">
        <v>347</v>
      </c>
    </row>
    <row r="4" spans="1:13">
      <c r="B4" s="8" t="s">
        <v>52</v>
      </c>
      <c r="C4" s="19">
        <v>0.5</v>
      </c>
      <c r="D4" s="11">
        <f>VLOOKUP(C4,$D$30:$E$37,2,FALSE)</f>
        <v>20</v>
      </c>
      <c r="E4" s="8" t="str">
        <f>" /refgain="&amp;D4</f>
        <v xml:space="preserve"> /refgain=20</v>
      </c>
      <c r="F4" s="9"/>
      <c r="G4" s="13" t="s">
        <v>232</v>
      </c>
      <c r="H4" s="13" t="str">
        <f>PathName&amp;PCGainFlag&amp;RefGainFlag&amp;BaseGainFlag&amp;xferFlag&amp;flashWaitFlag&amp;numFlashesFlag&amp;TimeScaleFlags&amp;cutoffFlag</f>
        <v>C:\lifetime\lifetime.exe /subbase=2 /basetime_us=20000 /pcgain=1 /refgain=20 /basegain=1 /xfer=125 /flashwait_s=6 /numflashes=1 /pulselength=12500 /cutoff=12500</v>
      </c>
      <c r="L4" s="12"/>
    </row>
    <row r="5" spans="1:13">
      <c r="B5" s="8" t="s">
        <v>53</v>
      </c>
      <c r="C5" s="19">
        <v>10</v>
      </c>
      <c r="D5" s="11">
        <f>VLOOKUP(C5,$D$30:$E$37,2,FALSE)</f>
        <v>1</v>
      </c>
      <c r="E5" s="8" t="str">
        <f>" /basegain="&amp;D5</f>
        <v xml:space="preserve"> /basegain=1</v>
      </c>
      <c r="G5" s="22" t="s">
        <v>231</v>
      </c>
      <c r="H5" s="22" t="str">
        <f>"C:\lifetime\lifetime.exe /baseonly=true /autoexit=true"&amp;E12</f>
        <v>C:\lifetime\lifetime.exe /baseonly=true /autoexit=true /basegain=10</v>
      </c>
    </row>
    <row r="6" spans="1:13">
      <c r="B6" s="12" t="s">
        <v>260</v>
      </c>
      <c r="C6" s="20">
        <f>PulseLength</f>
        <v>12500</v>
      </c>
      <c r="D6" s="11"/>
      <c r="E6" s="8" t="str">
        <f>" /pulselength="&amp;PulseLength</f>
        <v xml:space="preserve"> /pulselength=12500</v>
      </c>
    </row>
    <row r="7" spans="1:13">
      <c r="B7" s="12" t="s">
        <v>246</v>
      </c>
      <c r="C7" s="20">
        <f>TSampleTime</f>
        <v>100000</v>
      </c>
      <c r="D7" s="11"/>
      <c r="E7" s="8" t="str">
        <f>" /ltransient="&amp;C7</f>
        <v xml:space="preserve"> /ltransient=100000</v>
      </c>
      <c r="G7" s="12" t="s">
        <v>261</v>
      </c>
      <c r="H7" s="8" t="str">
        <f>IF(OR(AnalysisMode = "Transient",AnalysisMode = "Generalized (1/64)"),ltransientFlag&amp;ntransientFlag,PulseLengthFlag)</f>
        <v xml:space="preserve"> /pulselength=12500</v>
      </c>
    </row>
    <row r="8" spans="1:13">
      <c r="B8" s="12" t="s">
        <v>251</v>
      </c>
      <c r="C8" s="20">
        <f>TNumTaus</f>
        <v>3</v>
      </c>
      <c r="D8" s="11"/>
      <c r="E8" s="8" t="str">
        <f>" /ntransient="&amp;C8</f>
        <v xml:space="preserve"> /ntransient=3</v>
      </c>
    </row>
    <row r="9" spans="1:13">
      <c r="A9" s="11"/>
      <c r="B9" s="9" t="s">
        <v>54</v>
      </c>
      <c r="C9" s="19">
        <v>125</v>
      </c>
      <c r="D9" s="11"/>
      <c r="E9" s="12" t="str">
        <f>" /xfer="&amp;C9</f>
        <v xml:space="preserve"> /xfer=125</v>
      </c>
      <c r="J9" s="9"/>
      <c r="L9" s="9"/>
      <c r="M9" s="9"/>
    </row>
    <row r="10" spans="1:13">
      <c r="A10" s="11"/>
      <c r="B10" s="10" t="s">
        <v>82</v>
      </c>
      <c r="C10" s="19">
        <f>IF(OR(AnalysisMode="Transient",AnalysisMode="Generalized (1/64)"),TransFlashDelay,QSSFlashDelay)</f>
        <v>6</v>
      </c>
      <c r="D10" s="11"/>
      <c r="E10" s="8" t="str">
        <f>" /flashwait_s="&amp;C10</f>
        <v xml:space="preserve"> /flashwait_s=6</v>
      </c>
      <c r="J10" s="9"/>
    </row>
    <row r="11" spans="1:13">
      <c r="A11" s="11"/>
      <c r="B11" s="40" t="s">
        <v>241</v>
      </c>
      <c r="C11" s="19">
        <v>1</v>
      </c>
      <c r="D11" s="11"/>
      <c r="E11" s="8" t="str">
        <f>" /numflashes="&amp;C11</f>
        <v xml:space="preserve"> /numflashes=1</v>
      </c>
      <c r="J11" s="9"/>
    </row>
    <row r="12" spans="1:13">
      <c r="A12" s="11"/>
      <c r="B12" s="12" t="s">
        <v>229</v>
      </c>
      <c r="C12" s="18">
        <f>AirVoltageRange</f>
        <v>1</v>
      </c>
      <c r="D12" s="11">
        <f>VLOOKUP(C12,$D$30:$E$37,2,FALSE)</f>
        <v>10</v>
      </c>
      <c r="E12" s="8" t="str">
        <f>" /basegain="&amp;D12</f>
        <v xml:space="preserve"> /basegain=10</v>
      </c>
      <c r="J12" s="9"/>
      <c r="L12" s="9"/>
    </row>
    <row r="13" spans="1:13">
      <c r="A13" s="11"/>
      <c r="B13" s="12" t="s">
        <v>402</v>
      </c>
      <c r="C13" s="11">
        <f>IF(OR(AnalysisMode = "Transient",AnalysisMode = "Generalized (1/64)"),200,PulseLength)</f>
        <v>12500</v>
      </c>
      <c r="E13" s="8" t="str">
        <f>" /cutoff="&amp;C13</f>
        <v xml:space="preserve"> /cutoff=12500</v>
      </c>
    </row>
    <row r="14" spans="1:13">
      <c r="A14" s="11"/>
      <c r="D14" s="13"/>
      <c r="E14" s="13"/>
      <c r="F14" s="13"/>
      <c r="G14" s="13"/>
      <c r="H14" s="13"/>
      <c r="I14" s="13"/>
      <c r="J14" s="13"/>
      <c r="K14" s="13"/>
    </row>
    <row r="15" spans="1:13">
      <c r="A15" s="11"/>
      <c r="B15" s="16" t="s">
        <v>233</v>
      </c>
      <c r="C15" s="35" t="s">
        <v>234</v>
      </c>
      <c r="D15" s="36"/>
      <c r="E15" s="37" t="s">
        <v>235</v>
      </c>
      <c r="F15" s="24"/>
    </row>
    <row r="16" spans="1:13">
      <c r="A16" s="11"/>
      <c r="B16" s="20" t="s">
        <v>19</v>
      </c>
      <c r="C16" s="38" t="s">
        <v>236</v>
      </c>
      <c r="D16" s="39" t="s">
        <v>237</v>
      </c>
      <c r="E16" s="38" t="s">
        <v>236</v>
      </c>
      <c r="F16" s="39" t="s">
        <v>237</v>
      </c>
      <c r="G16" s="21" t="s">
        <v>240</v>
      </c>
    </row>
    <row r="17" spans="1:7">
      <c r="A17" s="11"/>
      <c r="B17" s="11">
        <v>0</v>
      </c>
      <c r="C17" s="25">
        <f>C3</f>
        <v>10</v>
      </c>
      <c r="D17" s="26">
        <f>C17*G17</f>
        <v>4</v>
      </c>
      <c r="E17" s="25">
        <f>C4</f>
        <v>0.5</v>
      </c>
      <c r="F17" s="26">
        <f>E17*G17</f>
        <v>0.2</v>
      </c>
      <c r="G17" s="33">
        <v>0.4</v>
      </c>
    </row>
    <row r="18" spans="1:7">
      <c r="A18" s="11"/>
      <c r="B18" s="23">
        <f>Calc!A133</f>
        <v>1.24499E-2</v>
      </c>
      <c r="C18" s="25">
        <f>C3</f>
        <v>10</v>
      </c>
      <c r="D18" s="26">
        <f>C18*G17</f>
        <v>4</v>
      </c>
      <c r="E18" s="25">
        <f>C4</f>
        <v>0.5</v>
      </c>
      <c r="F18" s="26">
        <f>E18*G17</f>
        <v>0.2</v>
      </c>
    </row>
    <row r="19" spans="1:7">
      <c r="A19" s="11"/>
      <c r="C19" s="27"/>
      <c r="D19" s="28"/>
      <c r="E19" s="27"/>
      <c r="F19" s="28"/>
    </row>
    <row r="20" spans="1:7">
      <c r="A20" s="11"/>
      <c r="B20" s="21" t="s">
        <v>238</v>
      </c>
      <c r="C20" s="27"/>
      <c r="D20" s="28"/>
      <c r="E20" s="27"/>
      <c r="F20" s="28"/>
    </row>
    <row r="21" spans="1:7">
      <c r="A21" s="11"/>
      <c r="B21" s="12" t="s">
        <v>239</v>
      </c>
      <c r="C21" s="29">
        <f>Calc!B150</f>
        <v>5.2885600000000004</v>
      </c>
      <c r="D21" s="28"/>
      <c r="E21" s="32">
        <f>Calc!B152</f>
        <v>0.44355600000000001</v>
      </c>
      <c r="F21" s="28"/>
    </row>
    <row r="22" spans="1:7">
      <c r="A22" s="11"/>
      <c r="B22" s="12" t="s">
        <v>253</v>
      </c>
      <c r="C22" s="27" t="b">
        <f>AND(C21&gt;0.95*Command!C17,D3&lt;&gt;-1)</f>
        <v>0</v>
      </c>
      <c r="D22" s="28"/>
      <c r="E22" s="27" t="b">
        <f>IF(AnalysisMode = "Transient", FALSE, AND(E21&gt;0.95*E17,D4&lt;&gt;10))</f>
        <v>0</v>
      </c>
      <c r="F22" s="28"/>
    </row>
    <row r="23" spans="1:7">
      <c r="A23" s="11"/>
      <c r="B23" s="12" t="s">
        <v>254</v>
      </c>
      <c r="C23" s="27" t="b">
        <f>AND(C21&lt;Command!D17,D3&lt;&gt;50)</f>
        <v>0</v>
      </c>
      <c r="D23" s="28"/>
      <c r="E23" s="27" t="b">
        <f>IF(AnalysisMode = "Transient", IF(D4&lt;&gt;50,TRUE,FALSE),AND(E21&lt;F17,D4&lt;&gt;50))</f>
        <v>0</v>
      </c>
      <c r="F23" s="28"/>
    </row>
    <row r="24" spans="1:7">
      <c r="A24" s="11"/>
      <c r="B24" s="34"/>
      <c r="C24" s="27"/>
      <c r="D24" s="28"/>
      <c r="E24" s="27"/>
      <c r="F24" s="28"/>
      <c r="G24" s="9"/>
    </row>
    <row r="25" spans="1:7">
      <c r="A25" s="11"/>
      <c r="B25" s="12"/>
      <c r="C25" s="30"/>
      <c r="D25" s="31"/>
      <c r="E25" s="30"/>
      <c r="F25" s="31"/>
      <c r="G25" s="9"/>
    </row>
    <row r="26" spans="1:7">
      <c r="A26" s="11"/>
    </row>
    <row r="28" spans="1:7">
      <c r="B28" s="4" t="s">
        <v>223</v>
      </c>
    </row>
    <row r="29" spans="1:7">
      <c r="B29" s="7" t="b">
        <v>1</v>
      </c>
      <c r="D29" s="15" t="s">
        <v>204</v>
      </c>
      <c r="E29" s="15" t="s">
        <v>203</v>
      </c>
    </row>
    <row r="30" spans="1:7">
      <c r="B30" s="7" t="b">
        <v>0</v>
      </c>
      <c r="D30" s="14">
        <v>0.2</v>
      </c>
      <c r="E30" s="14">
        <v>50</v>
      </c>
    </row>
    <row r="31" spans="1:7">
      <c r="B31" s="4"/>
      <c r="D31" s="14">
        <v>0.5</v>
      </c>
      <c r="E31" s="14">
        <v>20</v>
      </c>
    </row>
    <row r="32" spans="1:7">
      <c r="B32" s="5" t="s">
        <v>353</v>
      </c>
      <c r="D32" s="14">
        <v>1</v>
      </c>
      <c r="E32" s="14">
        <v>10</v>
      </c>
    </row>
    <row r="33" spans="2:5">
      <c r="B33" s="5" t="s">
        <v>352</v>
      </c>
      <c r="D33" s="14">
        <v>2</v>
      </c>
      <c r="E33" s="14">
        <v>5</v>
      </c>
    </row>
    <row r="34" spans="2:5">
      <c r="B34" s="5" t="s">
        <v>224</v>
      </c>
      <c r="D34" s="14">
        <v>5</v>
      </c>
      <c r="E34" s="14">
        <v>2</v>
      </c>
    </row>
    <row r="35" spans="2:5">
      <c r="B35" s="5" t="s">
        <v>65</v>
      </c>
      <c r="D35" s="14">
        <v>10</v>
      </c>
      <c r="E35" s="14">
        <v>1</v>
      </c>
    </row>
    <row r="36" spans="2:5">
      <c r="B36" s="4"/>
      <c r="D36" s="14">
        <v>20</v>
      </c>
      <c r="E36" s="14">
        <v>-1</v>
      </c>
    </row>
    <row r="37" spans="2:5">
      <c r="B37" s="5" t="s">
        <v>26</v>
      </c>
      <c r="D37" s="14">
        <v>40</v>
      </c>
      <c r="E37" s="14">
        <v>-2</v>
      </c>
    </row>
    <row r="38" spans="2:5">
      <c r="B38" s="5" t="s">
        <v>225</v>
      </c>
    </row>
    <row r="40" spans="2:5">
      <c r="B40" s="15" t="s">
        <v>356</v>
      </c>
    </row>
    <row r="41" spans="2:5">
      <c r="B41" s="15" t="s">
        <v>357</v>
      </c>
    </row>
    <row r="43" spans="2:5">
      <c r="B43" s="15" t="s">
        <v>358</v>
      </c>
    </row>
    <row r="44" spans="2:5">
      <c r="B44" s="15" t="s">
        <v>359</v>
      </c>
    </row>
  </sheetData>
  <phoneticPr fontId="0" type="noConversion"/>
  <dataValidations count="1">
    <dataValidation type="list" allowBlank="1" showInputMessage="1" showErrorMessage="1" sqref="C3:C5">
      <formula1>$D$30:$D$37</formula1>
    </dataValidation>
  </dataValidations>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124</vt:i4>
      </vt:variant>
    </vt:vector>
  </HeadingPairs>
  <TitlesOfParts>
    <vt:vector size="131" baseType="lpstr">
      <vt:lpstr>CoverSheet</vt:lpstr>
      <vt:lpstr>InputRanges</vt:lpstr>
      <vt:lpstr>User</vt:lpstr>
      <vt:lpstr>Settings</vt:lpstr>
      <vt:lpstr>Summary</vt:lpstr>
      <vt:lpstr>RawData</vt:lpstr>
      <vt:lpstr>Report</vt:lpstr>
      <vt:lpstr>A_cal</vt:lpstr>
      <vt:lpstr>AccessSummary</vt:lpstr>
      <vt:lpstr>AccessSummaryFN</vt:lpstr>
      <vt:lpstr>Air_Voltage</vt:lpstr>
      <vt:lpstr>AirVoltageError</vt:lpstr>
      <vt:lpstr>AirVoltageRange</vt:lpstr>
      <vt:lpstr>AirVStdev</vt:lpstr>
      <vt:lpstr>AnalysisMode</vt:lpstr>
      <vt:lpstr>AnalysisModeErrorMsg</vt:lpstr>
      <vt:lpstr>AreaFrac</vt:lpstr>
      <vt:lpstr>Auger_Coefficient</vt:lpstr>
      <vt:lpstr>AugerModel</vt:lpstr>
      <vt:lpstr>AugerModelList</vt:lpstr>
      <vt:lpstr>AutoRescale</vt:lpstr>
      <vt:lpstr>AutoSummary</vt:lpstr>
      <vt:lpstr>B_cal</vt:lpstr>
      <vt:lpstr>BandGapOption</vt:lpstr>
      <vt:lpstr>BaseGainFlag</vt:lpstr>
      <vt:lpstr>BiasLight</vt:lpstr>
      <vt:lpstr>BiasPtCD</vt:lpstr>
      <vt:lpstr>C_cal</vt:lpstr>
      <vt:lpstr>C_wafer</vt:lpstr>
      <vt:lpstr>CouplingMode</vt:lpstr>
      <vt:lpstr>CoverSheetErrorMsg</vt:lpstr>
      <vt:lpstr>cutoffFlag</vt:lpstr>
      <vt:lpstr>Dark_Voltage</vt:lpstr>
      <vt:lpstr>ExcelAutosave</vt:lpstr>
      <vt:lpstr>ExcelSummary</vt:lpstr>
      <vt:lpstr>ExcelSummaryFN</vt:lpstr>
      <vt:lpstr>FirstPoint</vt:lpstr>
      <vt:lpstr>Fit_Range</vt:lpstr>
      <vt:lpstr>FitIntercept</vt:lpstr>
      <vt:lpstr>FitInterceptAuger</vt:lpstr>
      <vt:lpstr>FitRangeMax</vt:lpstr>
      <vt:lpstr>FitRangeMin</vt:lpstr>
      <vt:lpstr>FitSlope</vt:lpstr>
      <vt:lpstr>FitSlopeAuger</vt:lpstr>
      <vt:lpstr>flashWaitFlag</vt:lpstr>
      <vt:lpstr>ImpliedFF</vt:lpstr>
      <vt:lpstr>ImpliedVoc1sun</vt:lpstr>
      <vt:lpstr>InputRangeAvg</vt:lpstr>
      <vt:lpstr>InputRangeFit</vt:lpstr>
      <vt:lpstr>InputRangeMCD</vt:lpstr>
      <vt:lpstr>InputRangeMode</vt:lpstr>
      <vt:lpstr>InputRangeOptConst</vt:lpstr>
      <vt:lpstr>InputRangePC</vt:lpstr>
      <vt:lpstr>InputRangeRef</vt:lpstr>
      <vt:lpstr>InputRangeType</vt:lpstr>
      <vt:lpstr>InputResCoverSheet</vt:lpstr>
      <vt:lpstr>InputResistivity</vt:lpstr>
      <vt:lpstr>InstrumentSN</vt:lpstr>
      <vt:lpstr>InstrumentType</vt:lpstr>
      <vt:lpstr>IsLogged</vt:lpstr>
      <vt:lpstr>Jo</vt:lpstr>
      <vt:lpstr>LifetimeTextLabel</vt:lpstr>
      <vt:lpstr>LightBiasErrorMsg</vt:lpstr>
      <vt:lpstr>ltransientFlag</vt:lpstr>
      <vt:lpstr>MaxApparentCD</vt:lpstr>
      <vt:lpstr>MaxSuns</vt:lpstr>
      <vt:lpstr>MaxTauLimit</vt:lpstr>
      <vt:lpstr>MCDErrorMsg</vt:lpstr>
      <vt:lpstr>MeasDate</vt:lpstr>
      <vt:lpstr>MeasTime</vt:lpstr>
      <vt:lpstr>MeasureCmd</vt:lpstr>
      <vt:lpstr>MeasuredLifetime</vt:lpstr>
      <vt:lpstr>MeasuredLifetimeAuger</vt:lpstr>
      <vt:lpstr>MeasuredResistivity</vt:lpstr>
      <vt:lpstr>MinApparentCD</vt:lpstr>
      <vt:lpstr>MinTauLimit</vt:lpstr>
      <vt:lpstr>Mode_List</vt:lpstr>
      <vt:lpstr>ntransientFlag</vt:lpstr>
      <vt:lpstr>numflashes</vt:lpstr>
      <vt:lpstr>numFlashesFlag</vt:lpstr>
      <vt:lpstr>NumFlashesInitial</vt:lpstr>
      <vt:lpstr>ONOFFList</vt:lpstr>
      <vt:lpstr>OptConst</vt:lpstr>
      <vt:lpstr>PassFailMsg</vt:lpstr>
      <vt:lpstr>PathName</vt:lpstr>
      <vt:lpstr>PC_ZoomIn</vt:lpstr>
      <vt:lpstr>PC_ZoomOut</vt:lpstr>
      <vt:lpstr>PCGainFlag</vt:lpstr>
      <vt:lpstr>PCRange</vt:lpstr>
      <vt:lpstr>PCRefRatio</vt:lpstr>
      <vt:lpstr>PCVoltageUpperBound</vt:lpstr>
      <vt:lpstr>PCVoltUpperBound</vt:lpstr>
      <vt:lpstr>Report!Print_Area</vt:lpstr>
      <vt:lpstr>PulseLength</vt:lpstr>
      <vt:lpstr>PulseLengthFlag</vt:lpstr>
      <vt:lpstr>QSSFlashDelay</vt:lpstr>
      <vt:lpstr>Ref_ZoomIn</vt:lpstr>
      <vt:lpstr>Ref_ZoomOut</vt:lpstr>
      <vt:lpstr>RefCellCal</vt:lpstr>
      <vt:lpstr>RefCellErrorMsg</vt:lpstr>
      <vt:lpstr>RefGainFlag</vt:lpstr>
      <vt:lpstr>RefRange</vt:lpstr>
      <vt:lpstr>RefVoltageUpperBound</vt:lpstr>
      <vt:lpstr>SampleDoping</vt:lpstr>
      <vt:lpstr>SampleInputType</vt:lpstr>
      <vt:lpstr>SampleNameCoverSheet</vt:lpstr>
      <vt:lpstr>SampleNameUserSheet</vt:lpstr>
      <vt:lpstr>SampleType</vt:lpstr>
      <vt:lpstr>SheetResistance</vt:lpstr>
      <vt:lpstr>ShowUserForm</vt:lpstr>
      <vt:lpstr>SpecMCD</vt:lpstr>
      <vt:lpstr>SpecMCDminusTraps</vt:lpstr>
      <vt:lpstr>TauFitIntercept</vt:lpstr>
      <vt:lpstr>TauInvspecMCD</vt:lpstr>
      <vt:lpstr>TextSummary</vt:lpstr>
      <vt:lpstr>TextSummaryFN</vt:lpstr>
      <vt:lpstr>TF_List</vt:lpstr>
      <vt:lpstr>TF_PassFail</vt:lpstr>
      <vt:lpstr>Thickness</vt:lpstr>
      <vt:lpstr>ThicknessCoverSheet</vt:lpstr>
      <vt:lpstr>TimeofMaxCD</vt:lpstr>
      <vt:lpstr>TimeScaleFlags</vt:lpstr>
      <vt:lpstr>TNumTaus</vt:lpstr>
      <vt:lpstr>TransFlashDelay</vt:lpstr>
      <vt:lpstr>Traps</vt:lpstr>
      <vt:lpstr>TSampleTime</vt:lpstr>
      <vt:lpstr>type_list</vt:lpstr>
      <vt:lpstr>VRangeList</vt:lpstr>
      <vt:lpstr>xferFlag</vt:lpstr>
      <vt:lpstr>ZeroInstrCmd</vt:lpstr>
      <vt:lpstr>ZeroInstTime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Sinton</dc:creator>
  <cp:lastModifiedBy>Semicon</cp:lastModifiedBy>
  <cp:lastPrinted>2014-12-11T17:11:53Z</cp:lastPrinted>
  <dcterms:created xsi:type="dcterms:W3CDTF">1998-06-23T16:13:05Z</dcterms:created>
  <dcterms:modified xsi:type="dcterms:W3CDTF">2022-07-07T15:55:03Z</dcterms:modified>
</cp:coreProperties>
</file>